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275"/>
  </bookViews>
  <sheets>
    <sheet name="Смета 12 гр. по ФЕР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по ФЕР'!$32:$32</definedName>
    <definedName name="_xlnm.Print_Area" localSheetId="0">'Смета 12 гр. по ФЕР'!$A$1:$L$171</definedName>
  </definedNames>
  <calcPr calcId="124519"/>
</workbook>
</file>

<file path=xl/calcChain.xml><?xml version="1.0" encoding="utf-8"?>
<calcChain xmlns="http://schemas.openxmlformats.org/spreadsheetml/2006/main">
  <c r="K147" i="5"/>
  <c r="J148" s="1"/>
  <c r="P148" s="1"/>
  <c r="I169"/>
  <c r="I166"/>
  <c r="D169"/>
  <c r="C161"/>
  <c r="C160"/>
  <c r="C159"/>
  <c r="C158"/>
  <c r="C157"/>
  <c r="C156"/>
  <c r="A153"/>
  <c r="L151"/>
  <c r="Q151" s="1"/>
  <c r="Z151"/>
  <c r="Y151"/>
  <c r="X151"/>
  <c r="K150"/>
  <c r="J151" s="1"/>
  <c r="P151" s="1"/>
  <c r="J150"/>
  <c r="H150"/>
  <c r="G150"/>
  <c r="F150"/>
  <c r="V149"/>
  <c r="T149"/>
  <c r="U149"/>
  <c r="S149"/>
  <c r="F149"/>
  <c r="E149"/>
  <c r="D149"/>
  <c r="I149"/>
  <c r="C149"/>
  <c r="B149"/>
  <c r="A149"/>
  <c r="L148"/>
  <c r="Q148" s="1"/>
  <c r="Z148"/>
  <c r="Y148"/>
  <c r="X148"/>
  <c r="J147"/>
  <c r="H147"/>
  <c r="G147"/>
  <c r="F147"/>
  <c r="V147"/>
  <c r="T147"/>
  <c r="U147"/>
  <c r="S147"/>
  <c r="E147"/>
  <c r="D147"/>
  <c r="I147"/>
  <c r="B147"/>
  <c r="A147"/>
  <c r="L146"/>
  <c r="Q146" s="1"/>
  <c r="Z146"/>
  <c r="Y146"/>
  <c r="X146"/>
  <c r="K145"/>
  <c r="J145"/>
  <c r="Z145"/>
  <c r="Y145"/>
  <c r="X145"/>
  <c r="H145"/>
  <c r="W145" s="1"/>
  <c r="F145"/>
  <c r="V145"/>
  <c r="T145"/>
  <c r="U145"/>
  <c r="S145"/>
  <c r="E145"/>
  <c r="D145"/>
  <c r="C145"/>
  <c r="B145"/>
  <c r="A145"/>
  <c r="J144"/>
  <c r="I144"/>
  <c r="F144"/>
  <c r="E144"/>
  <c r="J143"/>
  <c r="I143"/>
  <c r="E143"/>
  <c r="K142"/>
  <c r="J142"/>
  <c r="H142"/>
  <c r="R142" s="1"/>
  <c r="G142"/>
  <c r="F142"/>
  <c r="K141"/>
  <c r="J141"/>
  <c r="H141"/>
  <c r="G141"/>
  <c r="F141"/>
  <c r="V140"/>
  <c r="K144" s="1"/>
  <c r="T140"/>
  <c r="U140"/>
  <c r="H144" s="1"/>
  <c r="S140"/>
  <c r="F140"/>
  <c r="E140"/>
  <c r="D140"/>
  <c r="I140"/>
  <c r="C140"/>
  <c r="B140"/>
  <c r="A140"/>
  <c r="L139"/>
  <c r="Q139" s="1"/>
  <c r="Z139"/>
  <c r="Y139"/>
  <c r="X139"/>
  <c r="L138"/>
  <c r="G138"/>
  <c r="E138"/>
  <c r="J137"/>
  <c r="I137"/>
  <c r="F137"/>
  <c r="E137"/>
  <c r="J136"/>
  <c r="I136"/>
  <c r="E136"/>
  <c r="K135"/>
  <c r="J135"/>
  <c r="H135"/>
  <c r="G135"/>
  <c r="F135"/>
  <c r="K134"/>
  <c r="J134"/>
  <c r="H134"/>
  <c r="G134"/>
  <c r="F134"/>
  <c r="C133"/>
  <c r="V132"/>
  <c r="K137" s="1"/>
  <c r="T132"/>
  <c r="K136" s="1"/>
  <c r="U132"/>
  <c r="H137" s="1"/>
  <c r="S132"/>
  <c r="H136" s="1"/>
  <c r="F132"/>
  <c r="E132"/>
  <c r="D132"/>
  <c r="I132"/>
  <c r="C132"/>
  <c r="B132"/>
  <c r="A132"/>
  <c r="L131"/>
  <c r="Q131" s="1"/>
  <c r="Z131"/>
  <c r="Y131"/>
  <c r="X131"/>
  <c r="L130"/>
  <c r="G130"/>
  <c r="E130"/>
  <c r="J129"/>
  <c r="I129"/>
  <c r="F129"/>
  <c r="E129"/>
  <c r="J128"/>
  <c r="I128"/>
  <c r="E128"/>
  <c r="K127"/>
  <c r="J127"/>
  <c r="H127"/>
  <c r="R127" s="1"/>
  <c r="G127"/>
  <c r="F127"/>
  <c r="C126"/>
  <c r="V125"/>
  <c r="K129" s="1"/>
  <c r="T125"/>
  <c r="K128" s="1"/>
  <c r="U125"/>
  <c r="H129" s="1"/>
  <c r="S125"/>
  <c r="H128" s="1"/>
  <c r="G131" s="1"/>
  <c r="O131" s="1"/>
  <c r="F125"/>
  <c r="E125"/>
  <c r="D125"/>
  <c r="I125"/>
  <c r="C125"/>
  <c r="B125"/>
  <c r="A125"/>
  <c r="L124"/>
  <c r="Q124" s="1"/>
  <c r="Z124"/>
  <c r="Y124"/>
  <c r="X124"/>
  <c r="K123"/>
  <c r="J123"/>
  <c r="Z123"/>
  <c r="Y123"/>
  <c r="X123"/>
  <c r="H123"/>
  <c r="W123" s="1"/>
  <c r="F123"/>
  <c r="V123"/>
  <c r="T123"/>
  <c r="U123"/>
  <c r="S123"/>
  <c r="E123"/>
  <c r="D123"/>
  <c r="C123"/>
  <c r="B123"/>
  <c r="A123"/>
  <c r="K122"/>
  <c r="J122"/>
  <c r="Z122"/>
  <c r="Y122"/>
  <c r="X122"/>
  <c r="H122"/>
  <c r="W122" s="1"/>
  <c r="F122"/>
  <c r="V122"/>
  <c r="T122"/>
  <c r="U122"/>
  <c r="S122"/>
  <c r="E122"/>
  <c r="D122"/>
  <c r="C122"/>
  <c r="B122"/>
  <c r="A122"/>
  <c r="L121"/>
  <c r="G121"/>
  <c r="E121"/>
  <c r="J120"/>
  <c r="I120"/>
  <c r="F120"/>
  <c r="E120"/>
  <c r="J119"/>
  <c r="I119"/>
  <c r="E119"/>
  <c r="K118"/>
  <c r="J118"/>
  <c r="H118"/>
  <c r="G118"/>
  <c r="F118"/>
  <c r="K117"/>
  <c r="J117"/>
  <c r="H117"/>
  <c r="R117" s="1"/>
  <c r="G117"/>
  <c r="F117"/>
  <c r="K116"/>
  <c r="J116"/>
  <c r="H116"/>
  <c r="G116"/>
  <c r="F116"/>
  <c r="K115"/>
  <c r="J115"/>
  <c r="H115"/>
  <c r="R115" s="1"/>
  <c r="G115"/>
  <c r="F115"/>
  <c r="C114"/>
  <c r="V113"/>
  <c r="K120" s="1"/>
  <c r="T113"/>
  <c r="U113"/>
  <c r="H120" s="1"/>
  <c r="S113"/>
  <c r="F113"/>
  <c r="E113"/>
  <c r="D113"/>
  <c r="I113"/>
  <c r="C113"/>
  <c r="B113"/>
  <c r="A113"/>
  <c r="L112"/>
  <c r="Q112" s="1"/>
  <c r="Z112"/>
  <c r="Y112"/>
  <c r="X112"/>
  <c r="L111"/>
  <c r="G111"/>
  <c r="E111"/>
  <c r="J110"/>
  <c r="I110"/>
  <c r="F110"/>
  <c r="E110"/>
  <c r="J109"/>
  <c r="I109"/>
  <c r="E109"/>
  <c r="K108"/>
  <c r="J108"/>
  <c r="H108"/>
  <c r="R108" s="1"/>
  <c r="G108"/>
  <c r="F108"/>
  <c r="C107"/>
  <c r="V106"/>
  <c r="K110" s="1"/>
  <c r="T106"/>
  <c r="K109" s="1"/>
  <c r="U106"/>
  <c r="H110" s="1"/>
  <c r="S106"/>
  <c r="H109" s="1"/>
  <c r="F106"/>
  <c r="E106"/>
  <c r="D106"/>
  <c r="I106"/>
  <c r="C106"/>
  <c r="B106"/>
  <c r="A106"/>
  <c r="L105"/>
  <c r="Q105" s="1"/>
  <c r="Z105"/>
  <c r="Y105"/>
  <c r="X105"/>
  <c r="K104"/>
  <c r="J104"/>
  <c r="Z104"/>
  <c r="Y104"/>
  <c r="X104"/>
  <c r="H104"/>
  <c r="W104" s="1"/>
  <c r="F104"/>
  <c r="V104"/>
  <c r="T104"/>
  <c r="U104"/>
  <c r="S104"/>
  <c r="E104"/>
  <c r="D104"/>
  <c r="C104"/>
  <c r="B104"/>
  <c r="A104"/>
  <c r="L103"/>
  <c r="G103"/>
  <c r="E103"/>
  <c r="J102"/>
  <c r="I102"/>
  <c r="F102"/>
  <c r="E102"/>
  <c r="J101"/>
  <c r="I101"/>
  <c r="E101"/>
  <c r="K100"/>
  <c r="J100"/>
  <c r="H100"/>
  <c r="G100"/>
  <c r="F100"/>
  <c r="K99"/>
  <c r="J99"/>
  <c r="H99"/>
  <c r="R99" s="1"/>
  <c r="G99"/>
  <c r="F99"/>
  <c r="K98"/>
  <c r="J98"/>
  <c r="H98"/>
  <c r="G98"/>
  <c r="F98"/>
  <c r="K97"/>
  <c r="J97"/>
  <c r="H97"/>
  <c r="R97" s="1"/>
  <c r="G97"/>
  <c r="F97"/>
  <c r="C96"/>
  <c r="V95"/>
  <c r="K102" s="1"/>
  <c r="T95"/>
  <c r="K101" s="1"/>
  <c r="U95"/>
  <c r="H102" s="1"/>
  <c r="S95"/>
  <c r="H101" s="1"/>
  <c r="F95"/>
  <c r="E95"/>
  <c r="D95"/>
  <c r="I95"/>
  <c r="C95"/>
  <c r="B95"/>
  <c r="A95"/>
  <c r="L94"/>
  <c r="Q94" s="1"/>
  <c r="Z94"/>
  <c r="Y94"/>
  <c r="X94"/>
  <c r="K93"/>
  <c r="J93"/>
  <c r="Z93"/>
  <c r="Y93"/>
  <c r="X93"/>
  <c r="H93"/>
  <c r="W93" s="1"/>
  <c r="F93"/>
  <c r="V93"/>
  <c r="T93"/>
  <c r="U93"/>
  <c r="S93"/>
  <c r="E93"/>
  <c r="D93"/>
  <c r="C93"/>
  <c r="B93"/>
  <c r="A93"/>
  <c r="L92"/>
  <c r="G92"/>
  <c r="E92"/>
  <c r="J91"/>
  <c r="I91"/>
  <c r="F91"/>
  <c r="E91"/>
  <c r="J90"/>
  <c r="I90"/>
  <c r="E90"/>
  <c r="K89"/>
  <c r="J89"/>
  <c r="H89"/>
  <c r="G89"/>
  <c r="F89"/>
  <c r="K88"/>
  <c r="J88"/>
  <c r="H88"/>
  <c r="R88" s="1"/>
  <c r="G88"/>
  <c r="F88"/>
  <c r="K87"/>
  <c r="J87"/>
  <c r="H87"/>
  <c r="G87"/>
  <c r="F87"/>
  <c r="K86"/>
  <c r="J86"/>
  <c r="H86"/>
  <c r="G86"/>
  <c r="F86"/>
  <c r="C85"/>
  <c r="V84"/>
  <c r="K91" s="1"/>
  <c r="T84"/>
  <c r="K90" s="1"/>
  <c r="U84"/>
  <c r="S84"/>
  <c r="H90" s="1"/>
  <c r="F84"/>
  <c r="E84"/>
  <c r="D84"/>
  <c r="I84"/>
  <c r="C84"/>
  <c r="B84"/>
  <c r="A84"/>
  <c r="L83"/>
  <c r="Q83" s="1"/>
  <c r="Z83"/>
  <c r="Y83"/>
  <c r="X83"/>
  <c r="K82"/>
  <c r="J82"/>
  <c r="Z82"/>
  <c r="Y82"/>
  <c r="X82"/>
  <c r="H82"/>
  <c r="W82" s="1"/>
  <c r="F82"/>
  <c r="V82"/>
  <c r="T82"/>
  <c r="U82"/>
  <c r="S82"/>
  <c r="E82"/>
  <c r="D82"/>
  <c r="C82"/>
  <c r="B82"/>
  <c r="A82"/>
  <c r="L81"/>
  <c r="G81"/>
  <c r="E81"/>
  <c r="J80"/>
  <c r="I80"/>
  <c r="F80"/>
  <c r="E80"/>
  <c r="J79"/>
  <c r="I79"/>
  <c r="E79"/>
  <c r="K78"/>
  <c r="J78"/>
  <c r="H78"/>
  <c r="G78"/>
  <c r="F78"/>
  <c r="K77"/>
  <c r="J77"/>
  <c r="H77"/>
  <c r="R77" s="1"/>
  <c r="G77"/>
  <c r="F77"/>
  <c r="K76"/>
  <c r="J76"/>
  <c r="H76"/>
  <c r="G76"/>
  <c r="F76"/>
  <c r="K75"/>
  <c r="J75"/>
  <c r="H75"/>
  <c r="R75" s="1"/>
  <c r="G75"/>
  <c r="F75"/>
  <c r="C74"/>
  <c r="V73"/>
  <c r="K80" s="1"/>
  <c r="T73"/>
  <c r="U73"/>
  <c r="H80" s="1"/>
  <c r="S73"/>
  <c r="F73"/>
  <c r="E73"/>
  <c r="D73"/>
  <c r="I73"/>
  <c r="C73"/>
  <c r="B73"/>
  <c r="A73"/>
  <c r="L72"/>
  <c r="Q72" s="1"/>
  <c r="Z72"/>
  <c r="Y72"/>
  <c r="X72"/>
  <c r="K71"/>
  <c r="J71"/>
  <c r="Z71"/>
  <c r="Y71"/>
  <c r="X71"/>
  <c r="H71"/>
  <c r="W71" s="1"/>
  <c r="F71"/>
  <c r="V71"/>
  <c r="T71"/>
  <c r="U71"/>
  <c r="S71"/>
  <c r="E71"/>
  <c r="D71"/>
  <c r="B71"/>
  <c r="A71"/>
  <c r="L70"/>
  <c r="G70"/>
  <c r="E70"/>
  <c r="J69"/>
  <c r="I69"/>
  <c r="F69"/>
  <c r="E69"/>
  <c r="J68"/>
  <c r="I68"/>
  <c r="E68"/>
  <c r="K67"/>
  <c r="J67"/>
  <c r="H67"/>
  <c r="G67"/>
  <c r="F67"/>
  <c r="K66"/>
  <c r="J66"/>
  <c r="H66"/>
  <c r="R66" s="1"/>
  <c r="G66"/>
  <c r="F66"/>
  <c r="K65"/>
  <c r="J65"/>
  <c r="H65"/>
  <c r="G65"/>
  <c r="F65"/>
  <c r="K64"/>
  <c r="J64"/>
  <c r="H64"/>
  <c r="R64" s="1"/>
  <c r="G64"/>
  <c r="F64"/>
  <c r="C63"/>
  <c r="V62"/>
  <c r="K69" s="1"/>
  <c r="T62"/>
  <c r="K68" s="1"/>
  <c r="U62"/>
  <c r="H69" s="1"/>
  <c r="S62"/>
  <c r="H68" s="1"/>
  <c r="F62"/>
  <c r="E62"/>
  <c r="D62"/>
  <c r="I62"/>
  <c r="C62"/>
  <c r="B62"/>
  <c r="A62"/>
  <c r="L61"/>
  <c r="Q61" s="1"/>
  <c r="Z61"/>
  <c r="Y61"/>
  <c r="X61"/>
  <c r="K60"/>
  <c r="J61" s="1"/>
  <c r="P61" s="1"/>
  <c r="J60"/>
  <c r="H60"/>
  <c r="G60"/>
  <c r="F60"/>
  <c r="V59"/>
  <c r="T59"/>
  <c r="U59"/>
  <c r="S59"/>
  <c r="F59"/>
  <c r="E59"/>
  <c r="D59"/>
  <c r="I59"/>
  <c r="C59"/>
  <c r="B59"/>
  <c r="A59"/>
  <c r="L58"/>
  <c r="Q58" s="1"/>
  <c r="Z58"/>
  <c r="Y58"/>
  <c r="X58"/>
  <c r="L57"/>
  <c r="G57"/>
  <c r="E57"/>
  <c r="J56"/>
  <c r="I56"/>
  <c r="F56"/>
  <c r="E56"/>
  <c r="J55"/>
  <c r="I55"/>
  <c r="E55"/>
  <c r="K54"/>
  <c r="J54"/>
  <c r="H54"/>
  <c r="G54"/>
  <c r="F54"/>
  <c r="K53"/>
  <c r="J53"/>
  <c r="H53"/>
  <c r="R53" s="1"/>
  <c r="G53"/>
  <c r="F53"/>
  <c r="K52"/>
  <c r="J52"/>
  <c r="H52"/>
  <c r="G52"/>
  <c r="F52"/>
  <c r="K51"/>
  <c r="J51"/>
  <c r="H51"/>
  <c r="R51" s="1"/>
  <c r="G51"/>
  <c r="F51"/>
  <c r="C50"/>
  <c r="V49"/>
  <c r="K56" s="1"/>
  <c r="T49"/>
  <c r="K55" s="1"/>
  <c r="U49"/>
  <c r="H56" s="1"/>
  <c r="S49"/>
  <c r="H55" s="1"/>
  <c r="F49"/>
  <c r="E49"/>
  <c r="D49"/>
  <c r="I49"/>
  <c r="C49"/>
  <c r="B49"/>
  <c r="A49"/>
  <c r="Q48"/>
  <c r="L48"/>
  <c r="Z48"/>
  <c r="Y48"/>
  <c r="X48"/>
  <c r="L47"/>
  <c r="G47"/>
  <c r="E47"/>
  <c r="J46"/>
  <c r="I46"/>
  <c r="E46"/>
  <c r="J45"/>
  <c r="I45"/>
  <c r="E45"/>
  <c r="K44"/>
  <c r="J44"/>
  <c r="H44"/>
  <c r="G44"/>
  <c r="F44"/>
  <c r="C43"/>
  <c r="V42"/>
  <c r="K46" s="1"/>
  <c r="T42"/>
  <c r="K45" s="1"/>
  <c r="U42"/>
  <c r="H46" s="1"/>
  <c r="S42"/>
  <c r="H45" s="1"/>
  <c r="F42"/>
  <c r="E42"/>
  <c r="D42"/>
  <c r="I42"/>
  <c r="C42"/>
  <c r="B42"/>
  <c r="A42"/>
  <c r="L41"/>
  <c r="Q41" s="1"/>
  <c r="Z41"/>
  <c r="Y41"/>
  <c r="X41"/>
  <c r="L40"/>
  <c r="G40"/>
  <c r="E40"/>
  <c r="J39"/>
  <c r="I39"/>
  <c r="E39"/>
  <c r="J38"/>
  <c r="I38"/>
  <c r="E38"/>
  <c r="K37"/>
  <c r="J37"/>
  <c r="H37"/>
  <c r="R37" s="1"/>
  <c r="G37"/>
  <c r="F37"/>
  <c r="K36"/>
  <c r="J36"/>
  <c r="H36"/>
  <c r="G36"/>
  <c r="F36"/>
  <c r="K35"/>
  <c r="J35"/>
  <c r="H35"/>
  <c r="R35" s="1"/>
  <c r="G35"/>
  <c r="F35"/>
  <c r="C34"/>
  <c r="V33"/>
  <c r="K39" s="1"/>
  <c r="T33"/>
  <c r="K38" s="1"/>
  <c r="U33"/>
  <c r="H39" s="1"/>
  <c r="S33"/>
  <c r="H38" s="1"/>
  <c r="F33"/>
  <c r="E33"/>
  <c r="D33"/>
  <c r="I33"/>
  <c r="C33"/>
  <c r="B33"/>
  <c r="A33"/>
  <c r="B17"/>
  <c r="B15"/>
  <c r="H13"/>
  <c r="B6"/>
  <c r="A1"/>
  <c r="H143" l="1"/>
  <c r="K143"/>
  <c r="J48"/>
  <c r="P48" s="1"/>
  <c r="L153"/>
  <c r="J58"/>
  <c r="P58" s="1"/>
  <c r="G83"/>
  <c r="O83" s="1"/>
  <c r="H79"/>
  <c r="J94"/>
  <c r="P94" s="1"/>
  <c r="G105"/>
  <c r="O105" s="1"/>
  <c r="J139"/>
  <c r="P139" s="1"/>
  <c r="H119"/>
  <c r="J146"/>
  <c r="P146" s="1"/>
  <c r="J72"/>
  <c r="P72" s="1"/>
  <c r="W41"/>
  <c r="G41"/>
  <c r="O41" s="1"/>
  <c r="G58"/>
  <c r="O58" s="1"/>
  <c r="W83"/>
  <c r="J105"/>
  <c r="P105" s="1"/>
  <c r="J112"/>
  <c r="P112" s="1"/>
  <c r="W124"/>
  <c r="G124"/>
  <c r="O124" s="1"/>
  <c r="W131"/>
  <c r="G151"/>
  <c r="O151" s="1"/>
  <c r="W151"/>
  <c r="J41"/>
  <c r="P41" s="1"/>
  <c r="G48"/>
  <c r="O48" s="1"/>
  <c r="W48"/>
  <c r="R44"/>
  <c r="G28" s="1"/>
  <c r="G61"/>
  <c r="O61" s="1"/>
  <c r="W61"/>
  <c r="G72"/>
  <c r="O72" s="1"/>
  <c r="K79"/>
  <c r="J83" s="1"/>
  <c r="P83" s="1"/>
  <c r="H91"/>
  <c r="G94" s="1"/>
  <c r="O94" s="1"/>
  <c r="W94"/>
  <c r="R86"/>
  <c r="W105"/>
  <c r="W112"/>
  <c r="G112"/>
  <c r="O112" s="1"/>
  <c r="K119"/>
  <c r="J124" s="1"/>
  <c r="P124" s="1"/>
  <c r="J131"/>
  <c r="P131" s="1"/>
  <c r="G139"/>
  <c r="O139" s="1"/>
  <c r="W139"/>
  <c r="R134"/>
  <c r="G146"/>
  <c r="O146" s="1"/>
  <c r="W146"/>
  <c r="G148"/>
  <c r="O148" s="1"/>
  <c r="W148"/>
  <c r="W58"/>
  <c r="W72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" i="3"/>
  <c r="CY1"/>
  <c r="CZ1"/>
  <c r="DA1"/>
  <c r="A2"/>
  <c r="CY2"/>
  <c r="CZ2"/>
  <c r="DA2"/>
  <c r="A3"/>
  <c r="CY3"/>
  <c r="CZ3"/>
  <c r="DA3"/>
  <c r="A4"/>
  <c r="CY4"/>
  <c r="CZ4"/>
  <c r="DA4"/>
  <c r="A5"/>
  <c r="CY5"/>
  <c r="CZ5"/>
  <c r="DA5"/>
  <c r="A6"/>
  <c r="CY6"/>
  <c r="CZ6"/>
  <c r="DA6"/>
  <c r="A7"/>
  <c r="CY7"/>
  <c r="CZ7"/>
  <c r="DA7"/>
  <c r="A8"/>
  <c r="CY8"/>
  <c r="CZ8"/>
  <c r="DA8"/>
  <c r="A9"/>
  <c r="CY9"/>
  <c r="CZ9"/>
  <c r="DA9"/>
  <c r="A10"/>
  <c r="CY10"/>
  <c r="CZ10"/>
  <c r="DA10"/>
  <c r="A11"/>
  <c r="CY11"/>
  <c r="CZ11"/>
  <c r="DA11"/>
  <c r="A12"/>
  <c r="CY12"/>
  <c r="CZ12"/>
  <c r="DA12"/>
  <c r="A13"/>
  <c r="CY13"/>
  <c r="CZ13"/>
  <c r="DA13"/>
  <c r="A14"/>
  <c r="CY14"/>
  <c r="CZ14"/>
  <c r="DA14"/>
  <c r="A15"/>
  <c r="CY15"/>
  <c r="CZ15"/>
  <c r="DA15"/>
  <c r="A16"/>
  <c r="CY16"/>
  <c r="CZ16"/>
  <c r="DA16"/>
  <c r="A17"/>
  <c r="CY17"/>
  <c r="CZ17"/>
  <c r="DA17"/>
  <c r="A18"/>
  <c r="CY18"/>
  <c r="CZ18"/>
  <c r="DA18"/>
  <c r="A19"/>
  <c r="CY19"/>
  <c r="CZ19"/>
  <c r="DA19"/>
  <c r="A20"/>
  <c r="CY20"/>
  <c r="CZ20"/>
  <c r="DA20"/>
  <c r="A21"/>
  <c r="CY21"/>
  <c r="CZ21"/>
  <c r="DA21"/>
  <c r="A22"/>
  <c r="CY22"/>
  <c r="CZ22"/>
  <c r="DA22"/>
  <c r="A23"/>
  <c r="CY23"/>
  <c r="CZ23"/>
  <c r="DA23"/>
  <c r="A24"/>
  <c r="CY24"/>
  <c r="CZ24"/>
  <c r="DA24"/>
  <c r="A25"/>
  <c r="CY25"/>
  <c r="CZ25"/>
  <c r="DA25"/>
  <c r="A26"/>
  <c r="CY26"/>
  <c r="CZ26"/>
  <c r="DA26"/>
  <c r="A27"/>
  <c r="CY27"/>
  <c r="CZ27"/>
  <c r="DA27"/>
  <c r="A28"/>
  <c r="CY28"/>
  <c r="CZ28"/>
  <c r="DA28"/>
  <c r="A29"/>
  <c r="CY29"/>
  <c r="CZ29"/>
  <c r="DA29"/>
  <c r="A30"/>
  <c r="CY30"/>
  <c r="CZ30"/>
  <c r="DA30"/>
  <c r="A31"/>
  <c r="CY31"/>
  <c r="CZ31"/>
  <c r="DA31"/>
  <c r="A32"/>
  <c r="CY32"/>
  <c r="CZ32"/>
  <c r="DA32"/>
  <c r="A33"/>
  <c r="CY33"/>
  <c r="CZ33"/>
  <c r="DA33"/>
  <c r="A34"/>
  <c r="CY34"/>
  <c r="CZ34"/>
  <c r="DA34"/>
  <c r="A35"/>
  <c r="CY35"/>
  <c r="CZ35"/>
  <c r="DA35"/>
  <c r="A36"/>
  <c r="CY36"/>
  <c r="CZ36"/>
  <c r="DA36"/>
  <c r="A37"/>
  <c r="CY37"/>
  <c r="CZ37"/>
  <c r="DA37"/>
  <c r="A38"/>
  <c r="CY38"/>
  <c r="CZ38"/>
  <c r="DA38"/>
  <c r="A39"/>
  <c r="CY39"/>
  <c r="CZ39"/>
  <c r="DA39"/>
  <c r="A40"/>
  <c r="CY40"/>
  <c r="CZ40"/>
  <c r="DA40"/>
  <c r="A41"/>
  <c r="CY41"/>
  <c r="CZ41"/>
  <c r="DA41"/>
  <c r="A42"/>
  <c r="CY42"/>
  <c r="CZ42"/>
  <c r="DA42"/>
  <c r="A43"/>
  <c r="CY43"/>
  <c r="CZ43"/>
  <c r="DA43"/>
  <c r="A44"/>
  <c r="CY44"/>
  <c r="CZ44"/>
  <c r="DA44"/>
  <c r="A45"/>
  <c r="CY45"/>
  <c r="CZ45"/>
  <c r="DA45"/>
  <c r="A46"/>
  <c r="CY46"/>
  <c r="CZ46"/>
  <c r="DA46"/>
  <c r="A47"/>
  <c r="CY47"/>
  <c r="CZ47"/>
  <c r="DA47"/>
  <c r="A48"/>
  <c r="CY48"/>
  <c r="CZ48"/>
  <c r="DA48"/>
  <c r="A49"/>
  <c r="CY49"/>
  <c r="CZ49"/>
  <c r="DA49"/>
  <c r="A50"/>
  <c r="CY50"/>
  <c r="CZ50"/>
  <c r="DA50"/>
  <c r="A51"/>
  <c r="CY51"/>
  <c r="CZ51"/>
  <c r="DA51"/>
  <c r="A52"/>
  <c r="CY52"/>
  <c r="CZ52"/>
  <c r="DA52"/>
  <c r="A53"/>
  <c r="CY53"/>
  <c r="CZ53"/>
  <c r="DA53"/>
  <c r="A54"/>
  <c r="CY54"/>
  <c r="CZ54"/>
  <c r="DA54"/>
  <c r="A55"/>
  <c r="CY55"/>
  <c r="CZ55"/>
  <c r="DA55"/>
  <c r="A56"/>
  <c r="CY56"/>
  <c r="CZ56"/>
  <c r="DA56"/>
  <c r="A57"/>
  <c r="CY57"/>
  <c r="CZ57"/>
  <c r="DA57"/>
  <c r="A58"/>
  <c r="CY58"/>
  <c r="CZ58"/>
  <c r="DA58"/>
  <c r="A59"/>
  <c r="CY59"/>
  <c r="CZ59"/>
  <c r="DA59"/>
  <c r="A60"/>
  <c r="CY60"/>
  <c r="CZ60"/>
  <c r="DA60"/>
  <c r="A61"/>
  <c r="CY61"/>
  <c r="CZ61"/>
  <c r="DA61"/>
  <c r="A62"/>
  <c r="CY62"/>
  <c r="CZ62"/>
  <c r="DA62"/>
  <c r="A63"/>
  <c r="CY63"/>
  <c r="CZ63"/>
  <c r="DA63"/>
  <c r="A64"/>
  <c r="CY64"/>
  <c r="CZ64"/>
  <c r="DA64"/>
  <c r="A65"/>
  <c r="CY65"/>
  <c r="CZ65"/>
  <c r="DA65"/>
  <c r="A66"/>
  <c r="CY66"/>
  <c r="CZ66"/>
  <c r="DA66"/>
  <c r="A67"/>
  <c r="CY67"/>
  <c r="CZ67"/>
  <c r="DA67"/>
  <c r="A68"/>
  <c r="CY68"/>
  <c r="CZ68"/>
  <c r="DA68"/>
  <c r="A69"/>
  <c r="CY69"/>
  <c r="CZ69"/>
  <c r="DA69"/>
  <c r="A70"/>
  <c r="CY70"/>
  <c r="CZ70"/>
  <c r="DA70"/>
  <c r="A71"/>
  <c r="CY71"/>
  <c r="CZ71"/>
  <c r="DA71"/>
  <c r="A72"/>
  <c r="CY72"/>
  <c r="CZ72"/>
  <c r="DA72"/>
  <c r="A73"/>
  <c r="CY73"/>
  <c r="CZ73"/>
  <c r="DA73"/>
  <c r="A74"/>
  <c r="CY74"/>
  <c r="CZ74"/>
  <c r="DA74"/>
  <c r="A75"/>
  <c r="CY75"/>
  <c r="CZ75"/>
  <c r="DA75"/>
  <c r="A76"/>
  <c r="CY76"/>
  <c r="CZ76"/>
  <c r="DA76"/>
  <c r="A77"/>
  <c r="CY77"/>
  <c r="CZ77"/>
  <c r="DA77"/>
  <c r="A78"/>
  <c r="CY78"/>
  <c r="CZ78"/>
  <c r="DA78"/>
  <c r="A79"/>
  <c r="CY79"/>
  <c r="CZ79"/>
  <c r="DA79"/>
  <c r="A80"/>
  <c r="CY80"/>
  <c r="CZ80"/>
  <c r="DA80"/>
  <c r="A81"/>
  <c r="CY81"/>
  <c r="CZ81"/>
  <c r="DA81"/>
  <c r="A82"/>
  <c r="CY82"/>
  <c r="CZ82"/>
  <c r="DA82"/>
  <c r="A83"/>
  <c r="CY83"/>
  <c r="CZ83"/>
  <c r="DA83"/>
  <c r="A84"/>
  <c r="CY84"/>
  <c r="CZ84"/>
  <c r="DA84"/>
  <c r="A85"/>
  <c r="CY85"/>
  <c r="CZ85"/>
  <c r="DA85"/>
  <c r="A86"/>
  <c r="CY86"/>
  <c r="CZ86"/>
  <c r="DA86"/>
  <c r="A87"/>
  <c r="CY87"/>
  <c r="CZ87"/>
  <c r="DA87"/>
  <c r="A88"/>
  <c r="CY88"/>
  <c r="CZ88"/>
  <c r="DA88"/>
  <c r="A89"/>
  <c r="CY89"/>
  <c r="CZ89"/>
  <c r="DA89"/>
  <c r="A90"/>
  <c r="CY90"/>
  <c r="CZ90"/>
  <c r="DA90"/>
  <c r="A91"/>
  <c r="CY91"/>
  <c r="CZ91"/>
  <c r="DA91"/>
  <c r="A92"/>
  <c r="CY92"/>
  <c r="CZ92"/>
  <c r="DA92"/>
  <c r="A93"/>
  <c r="CY93"/>
  <c r="CZ93"/>
  <c r="DA93"/>
  <c r="A94"/>
  <c r="CY94"/>
  <c r="CZ94"/>
  <c r="DA94"/>
  <c r="A95"/>
  <c r="CY95"/>
  <c r="CZ95"/>
  <c r="DA95"/>
  <c r="A96"/>
  <c r="CY96"/>
  <c r="CZ96"/>
  <c r="DA96"/>
  <c r="A97"/>
  <c r="CY97"/>
  <c r="CZ97"/>
  <c r="DA97"/>
  <c r="A98"/>
  <c r="CY98"/>
  <c r="CZ98"/>
  <c r="DA98"/>
  <c r="A99"/>
  <c r="CY99"/>
  <c r="CZ99"/>
  <c r="DA99"/>
  <c r="A100"/>
  <c r="CY100"/>
  <c r="CZ100"/>
  <c r="DA100"/>
  <c r="A101"/>
  <c r="CY101"/>
  <c r="CZ101"/>
  <c r="DA101"/>
  <c r="A102"/>
  <c r="CY102"/>
  <c r="CZ102"/>
  <c r="DA102"/>
  <c r="A103"/>
  <c r="CY103"/>
  <c r="CZ103"/>
  <c r="DA103"/>
  <c r="A104"/>
  <c r="CY104"/>
  <c r="CZ104"/>
  <c r="DA104"/>
  <c r="A105"/>
  <c r="CY105"/>
  <c r="CZ105"/>
  <c r="DA105"/>
  <c r="A106"/>
  <c r="CY106"/>
  <c r="CZ106"/>
  <c r="DA106"/>
  <c r="A107"/>
  <c r="CY107"/>
  <c r="CZ107"/>
  <c r="DA107"/>
  <c r="A108"/>
  <c r="CY108"/>
  <c r="CZ108"/>
  <c r="DA108"/>
  <c r="A109"/>
  <c r="CY109"/>
  <c r="CZ109"/>
  <c r="DA109"/>
  <c r="A110"/>
  <c r="CY110"/>
  <c r="CZ110"/>
  <c r="DA110"/>
  <c r="A111"/>
  <c r="CX111"/>
  <c r="CY111"/>
  <c r="CZ111"/>
  <c r="DA111"/>
  <c r="A112"/>
  <c r="CX112"/>
  <c r="CY112"/>
  <c r="CZ112"/>
  <c r="DA112"/>
  <c r="A113"/>
  <c r="CX113"/>
  <c r="CY113"/>
  <c r="CZ113"/>
  <c r="DA113"/>
  <c r="A114"/>
  <c r="CX114"/>
  <c r="CY114"/>
  <c r="CZ114"/>
  <c r="DA114"/>
  <c r="A115"/>
  <c r="CX115"/>
  <c r="CY115"/>
  <c r="CZ115"/>
  <c r="DA115"/>
  <c r="A116"/>
  <c r="CX116"/>
  <c r="CY116"/>
  <c r="CZ116"/>
  <c r="DA116"/>
  <c r="A117"/>
  <c r="CX117"/>
  <c r="CY117"/>
  <c r="CZ117"/>
  <c r="DA117"/>
  <c r="A118"/>
  <c r="CX118"/>
  <c r="CY118"/>
  <c r="CZ118"/>
  <c r="DA118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R18"/>
  <c r="DS18"/>
  <c r="DT18"/>
  <c r="DU18"/>
  <c r="DV18"/>
  <c r="DW18"/>
  <c r="DX18"/>
  <c r="DY18"/>
  <c r="DZ18"/>
  <c r="EA18"/>
  <c r="EB18"/>
  <c r="EC18"/>
  <c r="ED18"/>
  <c r="EE18"/>
  <c r="EF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R22"/>
  <c r="DS22"/>
  <c r="EE22"/>
  <c r="EF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I24"/>
  <c r="AC24"/>
  <c r="AD24"/>
  <c r="CR24" s="1"/>
  <c r="Q24" s="1"/>
  <c r="AE24"/>
  <c r="AF24"/>
  <c r="CT24" s="1"/>
  <c r="S24" s="1"/>
  <c r="AG24"/>
  <c r="AH24"/>
  <c r="CV24" s="1"/>
  <c r="U24" s="1"/>
  <c r="AI24"/>
  <c r="AJ24"/>
  <c r="CX24" s="1"/>
  <c r="W24" s="1"/>
  <c r="CQ24"/>
  <c r="P24" s="1"/>
  <c r="CS24"/>
  <c r="R24" s="1"/>
  <c r="GK24" s="1"/>
  <c r="CU24"/>
  <c r="T24" s="1"/>
  <c r="CW24"/>
  <c r="V24" s="1"/>
  <c r="FR24"/>
  <c r="GL24"/>
  <c r="GO24"/>
  <c r="GP24"/>
  <c r="GV24"/>
  <c r="GX24"/>
  <c r="C25"/>
  <c r="D25"/>
  <c r="I25"/>
  <c r="AC25"/>
  <c r="AB25" s="1"/>
  <c r="AE25"/>
  <c r="AD25" s="1"/>
  <c r="CR25" s="1"/>
  <c r="Q25" s="1"/>
  <c r="AF25"/>
  <c r="AG25"/>
  <c r="CU25" s="1"/>
  <c r="T25" s="1"/>
  <c r="AH25"/>
  <c r="AI25"/>
  <c r="CW25" s="1"/>
  <c r="V25" s="1"/>
  <c r="AJ25"/>
  <c r="CT25"/>
  <c r="S25" s="1"/>
  <c r="CV25"/>
  <c r="U25" s="1"/>
  <c r="CX25"/>
  <c r="W25" s="1"/>
  <c r="FR25"/>
  <c r="GL25"/>
  <c r="GO25"/>
  <c r="GP25"/>
  <c r="GV25"/>
  <c r="GX25" s="1"/>
  <c r="C26"/>
  <c r="D26"/>
  <c r="I26"/>
  <c r="CX9" i="3" s="1"/>
  <c r="AC26" i="1"/>
  <c r="AD26"/>
  <c r="CR26" s="1"/>
  <c r="Q26" s="1"/>
  <c r="AE26"/>
  <c r="AF26"/>
  <c r="CT26" s="1"/>
  <c r="S26" s="1"/>
  <c r="AG26"/>
  <c r="AH26"/>
  <c r="CV26" s="1"/>
  <c r="U26" s="1"/>
  <c r="AI26"/>
  <c r="AJ26"/>
  <c r="CX26" s="1"/>
  <c r="W26" s="1"/>
  <c r="CQ26"/>
  <c r="P26" s="1"/>
  <c r="CP26" s="1"/>
  <c r="O26" s="1"/>
  <c r="CS26"/>
  <c r="R26" s="1"/>
  <c r="GK26" s="1"/>
  <c r="CU26"/>
  <c r="T26" s="1"/>
  <c r="CW26"/>
  <c r="V26" s="1"/>
  <c r="FR26"/>
  <c r="GL26"/>
  <c r="GO26"/>
  <c r="GP26"/>
  <c r="GV26"/>
  <c r="GX26"/>
  <c r="C27"/>
  <c r="D27"/>
  <c r="I27"/>
  <c r="CX10" i="3" s="1"/>
  <c r="AC27" i="1"/>
  <c r="AE27"/>
  <c r="AD27" s="1"/>
  <c r="CR27" s="1"/>
  <c r="Q27" s="1"/>
  <c r="AF27"/>
  <c r="AG27"/>
  <c r="CU27" s="1"/>
  <c r="T27" s="1"/>
  <c r="AH27"/>
  <c r="AI27"/>
  <c r="CW27" s="1"/>
  <c r="V27" s="1"/>
  <c r="AJ27"/>
  <c r="CT27"/>
  <c r="S27" s="1"/>
  <c r="CV27"/>
  <c r="U27" s="1"/>
  <c r="CX27"/>
  <c r="W27" s="1"/>
  <c r="FR27"/>
  <c r="GL27"/>
  <c r="GO27"/>
  <c r="GP27"/>
  <c r="GV27"/>
  <c r="GX27" s="1"/>
  <c r="C28"/>
  <c r="D28"/>
  <c r="I28"/>
  <c r="AC28"/>
  <c r="AD28"/>
  <c r="CR28" s="1"/>
  <c r="Q28" s="1"/>
  <c r="AE28"/>
  <c r="AF28"/>
  <c r="CT28" s="1"/>
  <c r="S28" s="1"/>
  <c r="AG28"/>
  <c r="AH28"/>
  <c r="CV28" s="1"/>
  <c r="U28" s="1"/>
  <c r="AI28"/>
  <c r="AJ28"/>
  <c r="CX28" s="1"/>
  <c r="W28" s="1"/>
  <c r="CQ28"/>
  <c r="P28" s="1"/>
  <c r="CS28"/>
  <c r="R28" s="1"/>
  <c r="GK28" s="1"/>
  <c r="CU28"/>
  <c r="T28" s="1"/>
  <c r="CW28"/>
  <c r="V28" s="1"/>
  <c r="FR28"/>
  <c r="GL28"/>
  <c r="GO28"/>
  <c r="GP28"/>
  <c r="GV28"/>
  <c r="GX28"/>
  <c r="C29"/>
  <c r="D29"/>
  <c r="I29"/>
  <c r="AC29"/>
  <c r="AB29" s="1"/>
  <c r="AE29"/>
  <c r="AD29" s="1"/>
  <c r="CR29" s="1"/>
  <c r="Q29" s="1"/>
  <c r="AF29"/>
  <c r="AG29"/>
  <c r="CU29" s="1"/>
  <c r="T29" s="1"/>
  <c r="AH29"/>
  <c r="AI29"/>
  <c r="CW29" s="1"/>
  <c r="V29" s="1"/>
  <c r="AJ29"/>
  <c r="CT29"/>
  <c r="S29" s="1"/>
  <c r="CV29"/>
  <c r="U29" s="1"/>
  <c r="CX29"/>
  <c r="W29" s="1"/>
  <c r="FR29"/>
  <c r="GL29"/>
  <c r="GO29"/>
  <c r="GP29"/>
  <c r="GV29"/>
  <c r="GX29" s="1"/>
  <c r="AC30"/>
  <c r="AB30" s="1"/>
  <c r="AD30"/>
  <c r="AE30"/>
  <c r="CS30" s="1"/>
  <c r="R30" s="1"/>
  <c r="GK30" s="1"/>
  <c r="AF30"/>
  <c r="AG30"/>
  <c r="CU30" s="1"/>
  <c r="T30" s="1"/>
  <c r="AH30"/>
  <c r="AI30"/>
  <c r="CW30" s="1"/>
  <c r="V30" s="1"/>
  <c r="AJ30"/>
  <c r="CR30"/>
  <c r="Q30" s="1"/>
  <c r="CT30"/>
  <c r="S30" s="1"/>
  <c r="CV30"/>
  <c r="U30" s="1"/>
  <c r="CX30"/>
  <c r="W30" s="1"/>
  <c r="FR30"/>
  <c r="GL30"/>
  <c r="GO30"/>
  <c r="GP30"/>
  <c r="GV30"/>
  <c r="GX30" s="1"/>
  <c r="AC31"/>
  <c r="AB31" s="1"/>
  <c r="AD31"/>
  <c r="AE31"/>
  <c r="CS31" s="1"/>
  <c r="R31" s="1"/>
  <c r="GK31" s="1"/>
  <c r="AF31"/>
  <c r="AG31"/>
  <c r="CU31" s="1"/>
  <c r="T31" s="1"/>
  <c r="AH31"/>
  <c r="AI31"/>
  <c r="CW31" s="1"/>
  <c r="V31" s="1"/>
  <c r="AJ31"/>
  <c r="CR31"/>
  <c r="Q31" s="1"/>
  <c r="CT31"/>
  <c r="S31" s="1"/>
  <c r="CV31"/>
  <c r="U31" s="1"/>
  <c r="CX31"/>
  <c r="W31" s="1"/>
  <c r="FR31"/>
  <c r="GL31"/>
  <c r="GO31"/>
  <c r="GP31"/>
  <c r="GV31"/>
  <c r="GX31" s="1"/>
  <c r="C32"/>
  <c r="D32"/>
  <c r="I32"/>
  <c r="AC32"/>
  <c r="AB32" s="1"/>
  <c r="AE32"/>
  <c r="AD32" s="1"/>
  <c r="CR32" s="1"/>
  <c r="Q32" s="1"/>
  <c r="AF32"/>
  <c r="AG32"/>
  <c r="AH32"/>
  <c r="AI32"/>
  <c r="AJ32"/>
  <c r="CQ32"/>
  <c r="P32" s="1"/>
  <c r="CS32"/>
  <c r="R32" s="1"/>
  <c r="GK32" s="1"/>
  <c r="CT32"/>
  <c r="S32" s="1"/>
  <c r="CU32"/>
  <c r="T32" s="1"/>
  <c r="CV32"/>
  <c r="U32" s="1"/>
  <c r="CW32"/>
  <c r="V32" s="1"/>
  <c r="CX32"/>
  <c r="W32" s="1"/>
  <c r="FR32"/>
  <c r="GL32"/>
  <c r="GO32"/>
  <c r="GP32"/>
  <c r="GV32"/>
  <c r="GX32"/>
  <c r="C33"/>
  <c r="D33"/>
  <c r="I33"/>
  <c r="AC33"/>
  <c r="AE33"/>
  <c r="AD33" s="1"/>
  <c r="CR33" s="1"/>
  <c r="Q33" s="1"/>
  <c r="AF33"/>
  <c r="AG33"/>
  <c r="CU33" s="1"/>
  <c r="T33" s="1"/>
  <c r="AH33"/>
  <c r="AI33"/>
  <c r="CW33" s="1"/>
  <c r="V33" s="1"/>
  <c r="AJ33"/>
  <c r="CT33"/>
  <c r="S33" s="1"/>
  <c r="CV33"/>
  <c r="U33" s="1"/>
  <c r="CX33"/>
  <c r="W33" s="1"/>
  <c r="FR33"/>
  <c r="GL33"/>
  <c r="GO33"/>
  <c r="GP33"/>
  <c r="GV33"/>
  <c r="GX33" s="1"/>
  <c r="I34"/>
  <c r="AC34"/>
  <c r="AD34"/>
  <c r="AB34" s="1"/>
  <c r="AE34"/>
  <c r="AF34"/>
  <c r="CT34" s="1"/>
  <c r="S34" s="1"/>
  <c r="AG34"/>
  <c r="AH34"/>
  <c r="CV34" s="1"/>
  <c r="U34" s="1"/>
  <c r="AI34"/>
  <c r="AJ34"/>
  <c r="CX34" s="1"/>
  <c r="W34" s="1"/>
  <c r="CQ34"/>
  <c r="P34" s="1"/>
  <c r="CS34"/>
  <c r="R34" s="1"/>
  <c r="GK34" s="1"/>
  <c r="CU34"/>
  <c r="T34" s="1"/>
  <c r="CW34"/>
  <c r="V34" s="1"/>
  <c r="FR34"/>
  <c r="GL34"/>
  <c r="GO34"/>
  <c r="GP34"/>
  <c r="GV34"/>
  <c r="GX34"/>
  <c r="I35"/>
  <c r="AC35"/>
  <c r="AB35" s="1"/>
  <c r="AE35"/>
  <c r="AD35" s="1"/>
  <c r="CR35" s="1"/>
  <c r="Q35" s="1"/>
  <c r="AF35"/>
  <c r="AG35"/>
  <c r="CU35" s="1"/>
  <c r="T35" s="1"/>
  <c r="AH35"/>
  <c r="AI35"/>
  <c r="CW35" s="1"/>
  <c r="V35" s="1"/>
  <c r="AJ35"/>
  <c r="CT35"/>
  <c r="S35" s="1"/>
  <c r="CV35"/>
  <c r="U35" s="1"/>
  <c r="CX35"/>
  <c r="W35" s="1"/>
  <c r="FR35"/>
  <c r="GL35"/>
  <c r="GO35"/>
  <c r="GP35"/>
  <c r="GV35"/>
  <c r="GX35" s="1"/>
  <c r="C36"/>
  <c r="D36"/>
  <c r="I36"/>
  <c r="AC36"/>
  <c r="AD36"/>
  <c r="AB36" s="1"/>
  <c r="AE36"/>
  <c r="AF36"/>
  <c r="CT36" s="1"/>
  <c r="S36" s="1"/>
  <c r="AG36"/>
  <c r="AH36"/>
  <c r="CV36" s="1"/>
  <c r="U36" s="1"/>
  <c r="AI36"/>
  <c r="AJ36"/>
  <c r="CX36" s="1"/>
  <c r="W36" s="1"/>
  <c r="CQ36"/>
  <c r="P36" s="1"/>
  <c r="CS36"/>
  <c r="R36" s="1"/>
  <c r="GK36" s="1"/>
  <c r="CU36"/>
  <c r="T36" s="1"/>
  <c r="CW36"/>
  <c r="V36" s="1"/>
  <c r="FR36"/>
  <c r="GL36"/>
  <c r="GO36"/>
  <c r="GP36"/>
  <c r="GV36"/>
  <c r="GX36"/>
  <c r="C37"/>
  <c r="D37"/>
  <c r="I37"/>
  <c r="AC37"/>
  <c r="AE37"/>
  <c r="AD37" s="1"/>
  <c r="CR37" s="1"/>
  <c r="Q37" s="1"/>
  <c r="AF37"/>
  <c r="AG37"/>
  <c r="CU37" s="1"/>
  <c r="T37" s="1"/>
  <c r="AH37"/>
  <c r="AI37"/>
  <c r="CW37" s="1"/>
  <c r="V37" s="1"/>
  <c r="AJ37"/>
  <c r="CT37"/>
  <c r="S37" s="1"/>
  <c r="CV37"/>
  <c r="U37" s="1"/>
  <c r="CX37"/>
  <c r="W37" s="1"/>
  <c r="FR37"/>
  <c r="GL37"/>
  <c r="GO37"/>
  <c r="GP37"/>
  <c r="GV37"/>
  <c r="GX37" s="1"/>
  <c r="I38"/>
  <c r="AC38"/>
  <c r="AD38"/>
  <c r="AB38" s="1"/>
  <c r="AE38"/>
  <c r="AF38"/>
  <c r="CT38" s="1"/>
  <c r="S38" s="1"/>
  <c r="AG38"/>
  <c r="AH38"/>
  <c r="CV38" s="1"/>
  <c r="U38" s="1"/>
  <c r="AI38"/>
  <c r="AJ38"/>
  <c r="CX38" s="1"/>
  <c r="W38" s="1"/>
  <c r="CQ38"/>
  <c r="P38" s="1"/>
  <c r="CS38"/>
  <c r="R38" s="1"/>
  <c r="GK38" s="1"/>
  <c r="CU38"/>
  <c r="T38" s="1"/>
  <c r="CW38"/>
  <c r="V38" s="1"/>
  <c r="FR38"/>
  <c r="GL38"/>
  <c r="GO38"/>
  <c r="GP38"/>
  <c r="GV38"/>
  <c r="GX38"/>
  <c r="I39"/>
  <c r="AC39"/>
  <c r="AB39" s="1"/>
  <c r="AE39"/>
  <c r="AD39" s="1"/>
  <c r="CR39" s="1"/>
  <c r="Q39" s="1"/>
  <c r="AF39"/>
  <c r="AG39"/>
  <c r="CU39" s="1"/>
  <c r="T39" s="1"/>
  <c r="AH39"/>
  <c r="AI39"/>
  <c r="CW39" s="1"/>
  <c r="V39" s="1"/>
  <c r="AJ39"/>
  <c r="CT39"/>
  <c r="S39" s="1"/>
  <c r="CV39"/>
  <c r="U39" s="1"/>
  <c r="CX39"/>
  <c r="W39" s="1"/>
  <c r="FR39"/>
  <c r="GL39"/>
  <c r="GO39"/>
  <c r="GP39"/>
  <c r="GV39"/>
  <c r="GX39" s="1"/>
  <c r="C40"/>
  <c r="D40"/>
  <c r="I40"/>
  <c r="AC40"/>
  <c r="AD40"/>
  <c r="AB40" s="1"/>
  <c r="AE40"/>
  <c r="AF40"/>
  <c r="CT40" s="1"/>
  <c r="S40" s="1"/>
  <c r="AG40"/>
  <c r="AH40"/>
  <c r="CV40" s="1"/>
  <c r="U40" s="1"/>
  <c r="AI40"/>
  <c r="AJ40"/>
  <c r="CX40" s="1"/>
  <c r="W40" s="1"/>
  <c r="CQ40"/>
  <c r="P40" s="1"/>
  <c r="CS40"/>
  <c r="R40" s="1"/>
  <c r="GK40" s="1"/>
  <c r="CU40"/>
  <c r="T40" s="1"/>
  <c r="CW40"/>
  <c r="V40" s="1"/>
  <c r="FR40"/>
  <c r="GL40"/>
  <c r="GO40"/>
  <c r="GP40"/>
  <c r="GV40"/>
  <c r="GX40"/>
  <c r="C41"/>
  <c r="D41"/>
  <c r="I41"/>
  <c r="AC41"/>
  <c r="AE41"/>
  <c r="AD41" s="1"/>
  <c r="CR41" s="1"/>
  <c r="Q41" s="1"/>
  <c r="AF41"/>
  <c r="AG41"/>
  <c r="CU41" s="1"/>
  <c r="T41" s="1"/>
  <c r="AH41"/>
  <c r="AI41"/>
  <c r="CW41" s="1"/>
  <c r="V41" s="1"/>
  <c r="AJ41"/>
  <c r="CT41"/>
  <c r="S41" s="1"/>
  <c r="CV41"/>
  <c r="U41" s="1"/>
  <c r="CX41"/>
  <c r="W41" s="1"/>
  <c r="FR41"/>
  <c r="GL41"/>
  <c r="GO41"/>
  <c r="GP41"/>
  <c r="GV41"/>
  <c r="GX41" s="1"/>
  <c r="I42"/>
  <c r="AC42"/>
  <c r="AD42"/>
  <c r="AB42" s="1"/>
  <c r="AE42"/>
  <c r="AF42"/>
  <c r="CT42" s="1"/>
  <c r="S42" s="1"/>
  <c r="AG42"/>
  <c r="AH42"/>
  <c r="CV42" s="1"/>
  <c r="U42" s="1"/>
  <c r="AI42"/>
  <c r="AJ42"/>
  <c r="CX42" s="1"/>
  <c r="W42" s="1"/>
  <c r="CQ42"/>
  <c r="P42" s="1"/>
  <c r="CS42"/>
  <c r="R42" s="1"/>
  <c r="GK42" s="1"/>
  <c r="CU42"/>
  <c r="T42" s="1"/>
  <c r="CW42"/>
  <c r="V42" s="1"/>
  <c r="FR42"/>
  <c r="GL42"/>
  <c r="GO42"/>
  <c r="GP42"/>
  <c r="GV42"/>
  <c r="GX42"/>
  <c r="I43"/>
  <c r="AC43"/>
  <c r="AB43" s="1"/>
  <c r="AE43"/>
  <c r="AD43" s="1"/>
  <c r="CR43" s="1"/>
  <c r="Q43" s="1"/>
  <c r="AF43"/>
  <c r="AG43"/>
  <c r="CU43" s="1"/>
  <c r="T43" s="1"/>
  <c r="AH43"/>
  <c r="AI43"/>
  <c r="CW43" s="1"/>
  <c r="V43" s="1"/>
  <c r="AJ43"/>
  <c r="CT43"/>
  <c r="S43" s="1"/>
  <c r="CV43"/>
  <c r="U43" s="1"/>
  <c r="CX43"/>
  <c r="W43" s="1"/>
  <c r="FR43"/>
  <c r="GL43"/>
  <c r="GO43"/>
  <c r="GP43"/>
  <c r="GV43"/>
  <c r="GX43" s="1"/>
  <c r="C44"/>
  <c r="D44"/>
  <c r="I44"/>
  <c r="AC44"/>
  <c r="AD44"/>
  <c r="CR44" s="1"/>
  <c r="Q44" s="1"/>
  <c r="AE44"/>
  <c r="AF44"/>
  <c r="CT44" s="1"/>
  <c r="S44" s="1"/>
  <c r="AG44"/>
  <c r="AH44"/>
  <c r="CV44" s="1"/>
  <c r="U44" s="1"/>
  <c r="AI44"/>
  <c r="AJ44"/>
  <c r="CX44" s="1"/>
  <c r="W44" s="1"/>
  <c r="CQ44"/>
  <c r="P44" s="1"/>
  <c r="CP44" s="1"/>
  <c r="O44" s="1"/>
  <c r="CS44"/>
  <c r="R44" s="1"/>
  <c r="CU44"/>
  <c r="T44" s="1"/>
  <c r="AG69" s="1"/>
  <c r="CW44"/>
  <c r="V44" s="1"/>
  <c r="FR44"/>
  <c r="GL44"/>
  <c r="GO44"/>
  <c r="GP44"/>
  <c r="GV44"/>
  <c r="GX44" s="1"/>
  <c r="C45"/>
  <c r="D45"/>
  <c r="I45"/>
  <c r="AC45"/>
  <c r="AD45"/>
  <c r="AB45" s="1"/>
  <c r="AE45"/>
  <c r="AF45"/>
  <c r="CT45" s="1"/>
  <c r="S45" s="1"/>
  <c r="AG45"/>
  <c r="AH45"/>
  <c r="CV45" s="1"/>
  <c r="U45" s="1"/>
  <c r="AI45"/>
  <c r="AJ45"/>
  <c r="CX45" s="1"/>
  <c r="W45" s="1"/>
  <c r="CQ45"/>
  <c r="P45" s="1"/>
  <c r="CS45"/>
  <c r="R45" s="1"/>
  <c r="GK45" s="1"/>
  <c r="CU45"/>
  <c r="T45" s="1"/>
  <c r="CW45"/>
  <c r="V45" s="1"/>
  <c r="FR45"/>
  <c r="GL45"/>
  <c r="GO45"/>
  <c r="GP45"/>
  <c r="GV45"/>
  <c r="GX45"/>
  <c r="I46"/>
  <c r="AC46"/>
  <c r="AE46"/>
  <c r="AD46" s="1"/>
  <c r="CR46" s="1"/>
  <c r="Q46" s="1"/>
  <c r="AF46"/>
  <c r="AG46"/>
  <c r="CU46" s="1"/>
  <c r="T46" s="1"/>
  <c r="AH46"/>
  <c r="AI46"/>
  <c r="CW46" s="1"/>
  <c r="V46" s="1"/>
  <c r="AI69" s="1"/>
  <c r="AJ46"/>
  <c r="CT46"/>
  <c r="S46" s="1"/>
  <c r="CV46"/>
  <c r="U46" s="1"/>
  <c r="CX46"/>
  <c r="W46" s="1"/>
  <c r="FR46"/>
  <c r="GL46"/>
  <c r="GO46"/>
  <c r="GP46"/>
  <c r="GV46"/>
  <c r="GX46" s="1"/>
  <c r="I47"/>
  <c r="AC47"/>
  <c r="AD47"/>
  <c r="AB47" s="1"/>
  <c r="AE47"/>
  <c r="AF47"/>
  <c r="CT47" s="1"/>
  <c r="S47" s="1"/>
  <c r="AG47"/>
  <c r="AH47"/>
  <c r="CV47" s="1"/>
  <c r="U47" s="1"/>
  <c r="AI47"/>
  <c r="AJ47"/>
  <c r="CX47" s="1"/>
  <c r="W47" s="1"/>
  <c r="CQ47"/>
  <c r="P47" s="1"/>
  <c r="CS47"/>
  <c r="R47" s="1"/>
  <c r="GK47" s="1"/>
  <c r="CU47"/>
  <c r="T47" s="1"/>
  <c r="CW47"/>
  <c r="V47" s="1"/>
  <c r="FR47"/>
  <c r="GL47"/>
  <c r="GO47"/>
  <c r="GP47"/>
  <c r="GV47"/>
  <c r="GX47"/>
  <c r="C48"/>
  <c r="D48"/>
  <c r="I48"/>
  <c r="CX83" i="3" s="1"/>
  <c r="AC48" i="1"/>
  <c r="AB48" s="1"/>
  <c r="AE48"/>
  <c r="AD48" s="1"/>
  <c r="CR48" s="1"/>
  <c r="Q48" s="1"/>
  <c r="AF48"/>
  <c r="AG48"/>
  <c r="CU48" s="1"/>
  <c r="T48" s="1"/>
  <c r="AH48"/>
  <c r="AI48"/>
  <c r="CW48" s="1"/>
  <c r="V48" s="1"/>
  <c r="AJ48"/>
  <c r="CT48"/>
  <c r="S48" s="1"/>
  <c r="CV48"/>
  <c r="U48" s="1"/>
  <c r="CX48"/>
  <c r="W48" s="1"/>
  <c r="FR48"/>
  <c r="GL48"/>
  <c r="GO48"/>
  <c r="GP48"/>
  <c r="GV48"/>
  <c r="GX48" s="1"/>
  <c r="C49"/>
  <c r="D49"/>
  <c r="I49"/>
  <c r="CX84" i="3" s="1"/>
  <c r="AC49" i="1"/>
  <c r="AD49"/>
  <c r="AB49" s="1"/>
  <c r="AE49"/>
  <c r="AF49"/>
  <c r="CT49" s="1"/>
  <c r="S49" s="1"/>
  <c r="AG49"/>
  <c r="AH49"/>
  <c r="CV49" s="1"/>
  <c r="U49" s="1"/>
  <c r="AI49"/>
  <c r="AJ49"/>
  <c r="CX49" s="1"/>
  <c r="W49" s="1"/>
  <c r="CQ49"/>
  <c r="P49" s="1"/>
  <c r="CS49"/>
  <c r="R49" s="1"/>
  <c r="GK49" s="1"/>
  <c r="CU49"/>
  <c r="T49" s="1"/>
  <c r="CW49"/>
  <c r="V49" s="1"/>
  <c r="FR49"/>
  <c r="GL49"/>
  <c r="GO49"/>
  <c r="GP49"/>
  <c r="GV49"/>
  <c r="GX49"/>
  <c r="C50"/>
  <c r="D50"/>
  <c r="I50"/>
  <c r="AC50"/>
  <c r="AE50"/>
  <c r="AD50" s="1"/>
  <c r="CR50" s="1"/>
  <c r="Q50" s="1"/>
  <c r="AF50"/>
  <c r="AG50"/>
  <c r="CU50" s="1"/>
  <c r="T50" s="1"/>
  <c r="AH50"/>
  <c r="AI50"/>
  <c r="CW50" s="1"/>
  <c r="V50" s="1"/>
  <c r="AJ50"/>
  <c r="CT50"/>
  <c r="S50" s="1"/>
  <c r="CV50"/>
  <c r="U50" s="1"/>
  <c r="CX50"/>
  <c r="W50" s="1"/>
  <c r="FR50"/>
  <c r="GL50"/>
  <c r="GO50"/>
  <c r="GP50"/>
  <c r="GV50"/>
  <c r="GX50" s="1"/>
  <c r="C51"/>
  <c r="D51"/>
  <c r="I51"/>
  <c r="AC51"/>
  <c r="AD51"/>
  <c r="AB51" s="1"/>
  <c r="AE51"/>
  <c r="AF51"/>
  <c r="CT51" s="1"/>
  <c r="S51" s="1"/>
  <c r="AG51"/>
  <c r="AH51"/>
  <c r="CV51" s="1"/>
  <c r="U51" s="1"/>
  <c r="AI51"/>
  <c r="AJ51"/>
  <c r="CX51" s="1"/>
  <c r="W51" s="1"/>
  <c r="CQ51"/>
  <c r="P51" s="1"/>
  <c r="CS51"/>
  <c r="R51" s="1"/>
  <c r="GK51" s="1"/>
  <c r="CU51"/>
  <c r="T51" s="1"/>
  <c r="CW51"/>
  <c r="V51" s="1"/>
  <c r="FR51"/>
  <c r="GL51"/>
  <c r="GO51"/>
  <c r="GP51"/>
  <c r="GV51"/>
  <c r="GX51"/>
  <c r="I52"/>
  <c r="AC52"/>
  <c r="AB52" s="1"/>
  <c r="AE52"/>
  <c r="AD52" s="1"/>
  <c r="CR52" s="1"/>
  <c r="Q52" s="1"/>
  <c r="AF52"/>
  <c r="AG52"/>
  <c r="CU52" s="1"/>
  <c r="T52" s="1"/>
  <c r="AH52"/>
  <c r="AI52"/>
  <c r="CW52" s="1"/>
  <c r="V52" s="1"/>
  <c r="AJ52"/>
  <c r="CT52"/>
  <c r="S52" s="1"/>
  <c r="CV52"/>
  <c r="U52" s="1"/>
  <c r="CX52"/>
  <c r="W52" s="1"/>
  <c r="FR52"/>
  <c r="GL52"/>
  <c r="GO52"/>
  <c r="GP52"/>
  <c r="GV52"/>
  <c r="GX52" s="1"/>
  <c r="I53"/>
  <c r="AC53"/>
  <c r="AD53"/>
  <c r="AB53" s="1"/>
  <c r="AE53"/>
  <c r="AF53"/>
  <c r="CT53" s="1"/>
  <c r="S53" s="1"/>
  <c r="AG53"/>
  <c r="AH53"/>
  <c r="CV53" s="1"/>
  <c r="U53" s="1"/>
  <c r="AI53"/>
  <c r="AJ53"/>
  <c r="CX53" s="1"/>
  <c r="W53" s="1"/>
  <c r="CQ53"/>
  <c r="P53" s="1"/>
  <c r="CS53"/>
  <c r="R53" s="1"/>
  <c r="GK53" s="1"/>
  <c r="CU53"/>
  <c r="T53" s="1"/>
  <c r="CW53"/>
  <c r="V53" s="1"/>
  <c r="FR53"/>
  <c r="GL53"/>
  <c r="GO53"/>
  <c r="GP53"/>
  <c r="GV53"/>
  <c r="GX53"/>
  <c r="I54"/>
  <c r="AC54"/>
  <c r="AE54"/>
  <c r="AD54" s="1"/>
  <c r="CR54" s="1"/>
  <c r="Q54" s="1"/>
  <c r="AF54"/>
  <c r="AG54"/>
  <c r="CU54" s="1"/>
  <c r="T54" s="1"/>
  <c r="AH54"/>
  <c r="AI54"/>
  <c r="CW54" s="1"/>
  <c r="V54" s="1"/>
  <c r="AJ54"/>
  <c r="CT54"/>
  <c r="S54" s="1"/>
  <c r="CV54"/>
  <c r="U54" s="1"/>
  <c r="CX54"/>
  <c r="W54" s="1"/>
  <c r="FR54"/>
  <c r="GL54"/>
  <c r="GO54"/>
  <c r="GP54"/>
  <c r="GV54"/>
  <c r="GX54" s="1"/>
  <c r="I55"/>
  <c r="AC55"/>
  <c r="AD55"/>
  <c r="AB55" s="1"/>
  <c r="AE55"/>
  <c r="AF55"/>
  <c r="CT55" s="1"/>
  <c r="S55" s="1"/>
  <c r="AG55"/>
  <c r="AH55"/>
  <c r="CV55" s="1"/>
  <c r="U55" s="1"/>
  <c r="AI55"/>
  <c r="AJ55"/>
  <c r="CX55" s="1"/>
  <c r="W55" s="1"/>
  <c r="CQ55"/>
  <c r="P55" s="1"/>
  <c r="CS55"/>
  <c r="R55" s="1"/>
  <c r="GK55" s="1"/>
  <c r="CU55"/>
  <c r="T55" s="1"/>
  <c r="CW55"/>
  <c r="V55" s="1"/>
  <c r="FR55"/>
  <c r="GL55"/>
  <c r="GO55"/>
  <c r="GP55"/>
  <c r="GV55"/>
  <c r="GX55"/>
  <c r="C56"/>
  <c r="D56"/>
  <c r="I56"/>
  <c r="CX105" i="3" s="1"/>
  <c r="AC56" i="1"/>
  <c r="AB56" s="1"/>
  <c r="AE56"/>
  <c r="AD56" s="1"/>
  <c r="CR56" s="1"/>
  <c r="Q56" s="1"/>
  <c r="AF56"/>
  <c r="AG56"/>
  <c r="CU56" s="1"/>
  <c r="T56" s="1"/>
  <c r="AH56"/>
  <c r="AI56"/>
  <c r="CW56" s="1"/>
  <c r="V56" s="1"/>
  <c r="AJ56"/>
  <c r="CT56"/>
  <c r="S56" s="1"/>
  <c r="CV56"/>
  <c r="U56" s="1"/>
  <c r="CX56"/>
  <c r="W56" s="1"/>
  <c r="FR56"/>
  <c r="GL56"/>
  <c r="GO56"/>
  <c r="GP56"/>
  <c r="GV56"/>
  <c r="GX56" s="1"/>
  <c r="C57"/>
  <c r="D57"/>
  <c r="I57"/>
  <c r="CX106" i="3" s="1"/>
  <c r="AC57" i="1"/>
  <c r="AD57"/>
  <c r="AB57" s="1"/>
  <c r="AE57"/>
  <c r="AF57"/>
  <c r="CT57" s="1"/>
  <c r="S57" s="1"/>
  <c r="AG57"/>
  <c r="AH57"/>
  <c r="CV57" s="1"/>
  <c r="U57" s="1"/>
  <c r="AI57"/>
  <c r="AJ57"/>
  <c r="CX57" s="1"/>
  <c r="W57" s="1"/>
  <c r="CQ57"/>
  <c r="P57" s="1"/>
  <c r="CS57"/>
  <c r="R57" s="1"/>
  <c r="GK57" s="1"/>
  <c r="CU57"/>
  <c r="T57" s="1"/>
  <c r="DY69" s="1"/>
  <c r="CW57"/>
  <c r="V57" s="1"/>
  <c r="FR57"/>
  <c r="GL57"/>
  <c r="GO57"/>
  <c r="GP57"/>
  <c r="GV57"/>
  <c r="GX57"/>
  <c r="C58"/>
  <c r="D58"/>
  <c r="I58"/>
  <c r="AC58"/>
  <c r="AE58"/>
  <c r="AD58" s="1"/>
  <c r="CR58" s="1"/>
  <c r="Q58" s="1"/>
  <c r="AF58"/>
  <c r="AG58"/>
  <c r="CU58" s="1"/>
  <c r="T58" s="1"/>
  <c r="AH58"/>
  <c r="AI58"/>
  <c r="CW58" s="1"/>
  <c r="V58" s="1"/>
  <c r="AJ58"/>
  <c r="CT58"/>
  <c r="S58" s="1"/>
  <c r="CV58"/>
  <c r="U58" s="1"/>
  <c r="CX58"/>
  <c r="W58" s="1"/>
  <c r="FR58"/>
  <c r="GL58"/>
  <c r="GO58"/>
  <c r="GP58"/>
  <c r="GV58"/>
  <c r="GX58" s="1"/>
  <c r="C59"/>
  <c r="D59"/>
  <c r="I59"/>
  <c r="AC59"/>
  <c r="AD59"/>
  <c r="AB59" s="1"/>
  <c r="AE59"/>
  <c r="AF59"/>
  <c r="CT59" s="1"/>
  <c r="S59" s="1"/>
  <c r="AG59"/>
  <c r="AH59"/>
  <c r="CV59" s="1"/>
  <c r="U59" s="1"/>
  <c r="AI59"/>
  <c r="AJ59"/>
  <c r="CX59" s="1"/>
  <c r="W59" s="1"/>
  <c r="CQ59"/>
  <c r="P59" s="1"/>
  <c r="CS59"/>
  <c r="R59" s="1"/>
  <c r="GK59" s="1"/>
  <c r="CU59"/>
  <c r="T59" s="1"/>
  <c r="CW59"/>
  <c r="V59" s="1"/>
  <c r="EA69" s="1"/>
  <c r="FR59"/>
  <c r="GL59"/>
  <c r="GO59"/>
  <c r="GP59"/>
  <c r="GV59"/>
  <c r="GX59"/>
  <c r="C60"/>
  <c r="D60"/>
  <c r="AC60"/>
  <c r="AD60"/>
  <c r="AB60" s="1"/>
  <c r="AE60"/>
  <c r="AF60"/>
  <c r="CT60" s="1"/>
  <c r="S60" s="1"/>
  <c r="AG60"/>
  <c r="AH60"/>
  <c r="CV60" s="1"/>
  <c r="U60" s="1"/>
  <c r="AI60"/>
  <c r="AJ60"/>
  <c r="CX60" s="1"/>
  <c r="W60" s="1"/>
  <c r="CQ60"/>
  <c r="P60" s="1"/>
  <c r="CS60"/>
  <c r="R60" s="1"/>
  <c r="GK60" s="1"/>
  <c r="CU60"/>
  <c r="T60" s="1"/>
  <c r="CW60"/>
  <c r="V60" s="1"/>
  <c r="FR60"/>
  <c r="GL60"/>
  <c r="GO60"/>
  <c r="GP60"/>
  <c r="GV60"/>
  <c r="GX60"/>
  <c r="C61"/>
  <c r="D61"/>
  <c r="AC61"/>
  <c r="AD61"/>
  <c r="AB61" s="1"/>
  <c r="AE61"/>
  <c r="AF61"/>
  <c r="CT61" s="1"/>
  <c r="S61" s="1"/>
  <c r="AG61"/>
  <c r="AH61"/>
  <c r="CV61" s="1"/>
  <c r="U61" s="1"/>
  <c r="AI61"/>
  <c r="AJ61"/>
  <c r="CX61" s="1"/>
  <c r="W61" s="1"/>
  <c r="CQ61"/>
  <c r="P61" s="1"/>
  <c r="CS61"/>
  <c r="R61" s="1"/>
  <c r="GK61" s="1"/>
  <c r="CU61"/>
  <c r="T61" s="1"/>
  <c r="CW61"/>
  <c r="V61" s="1"/>
  <c r="FR61"/>
  <c r="GL61"/>
  <c r="GO61"/>
  <c r="GP61"/>
  <c r="GV61"/>
  <c r="GX61"/>
  <c r="I62"/>
  <c r="AC62"/>
  <c r="AB62" s="1"/>
  <c r="AE62"/>
  <c r="AD62" s="1"/>
  <c r="CR62" s="1"/>
  <c r="Q62" s="1"/>
  <c r="AF62"/>
  <c r="AG62"/>
  <c r="CU62" s="1"/>
  <c r="T62" s="1"/>
  <c r="AH62"/>
  <c r="AI62"/>
  <c r="CW62" s="1"/>
  <c r="V62" s="1"/>
  <c r="AJ62"/>
  <c r="CT62"/>
  <c r="S62" s="1"/>
  <c r="CV62"/>
  <c r="U62" s="1"/>
  <c r="CX62"/>
  <c r="W62" s="1"/>
  <c r="FR62"/>
  <c r="GL62"/>
  <c r="GO62"/>
  <c r="GP62"/>
  <c r="GV62"/>
  <c r="GX62" s="1"/>
  <c r="I63"/>
  <c r="AC63"/>
  <c r="AD63"/>
  <c r="AB63" s="1"/>
  <c r="AE63"/>
  <c r="AF63"/>
  <c r="CT63" s="1"/>
  <c r="S63" s="1"/>
  <c r="AG63"/>
  <c r="AH63"/>
  <c r="CV63" s="1"/>
  <c r="U63" s="1"/>
  <c r="AI63"/>
  <c r="AJ63"/>
  <c r="CX63" s="1"/>
  <c r="W63" s="1"/>
  <c r="CQ63"/>
  <c r="P63" s="1"/>
  <c r="CS63"/>
  <c r="R63" s="1"/>
  <c r="GK63" s="1"/>
  <c r="CU63"/>
  <c r="T63" s="1"/>
  <c r="CW63"/>
  <c r="V63" s="1"/>
  <c r="FR63"/>
  <c r="GL63"/>
  <c r="GO63"/>
  <c r="GP63"/>
  <c r="GV63"/>
  <c r="GX63"/>
  <c r="AC64"/>
  <c r="AD64"/>
  <c r="AB64" s="1"/>
  <c r="AE64"/>
  <c r="AF64"/>
  <c r="CT64" s="1"/>
  <c r="S64" s="1"/>
  <c r="AG64"/>
  <c r="AH64"/>
  <c r="CV64" s="1"/>
  <c r="U64" s="1"/>
  <c r="AI64"/>
  <c r="AJ64"/>
  <c r="CX64" s="1"/>
  <c r="W64" s="1"/>
  <c r="CQ64"/>
  <c r="P64" s="1"/>
  <c r="CS64"/>
  <c r="R64" s="1"/>
  <c r="GK64" s="1"/>
  <c r="CU64"/>
  <c r="T64" s="1"/>
  <c r="CW64"/>
  <c r="V64" s="1"/>
  <c r="FR64"/>
  <c r="GL64"/>
  <c r="GO64"/>
  <c r="GP64"/>
  <c r="GV64"/>
  <c r="GX64"/>
  <c r="AC65"/>
  <c r="AD65"/>
  <c r="AB65" s="1"/>
  <c r="AE65"/>
  <c r="AF65"/>
  <c r="CT65" s="1"/>
  <c r="S65" s="1"/>
  <c r="AG65"/>
  <c r="AH65"/>
  <c r="CV65" s="1"/>
  <c r="U65" s="1"/>
  <c r="AI65"/>
  <c r="AJ65"/>
  <c r="CX65" s="1"/>
  <c r="W65" s="1"/>
  <c r="CQ65"/>
  <c r="P65" s="1"/>
  <c r="CS65"/>
  <c r="R65" s="1"/>
  <c r="GK65" s="1"/>
  <c r="CU65"/>
  <c r="T65" s="1"/>
  <c r="CW65"/>
  <c r="V65" s="1"/>
  <c r="FR65"/>
  <c r="GL65"/>
  <c r="GO65"/>
  <c r="GP65"/>
  <c r="GV65"/>
  <c r="GX65"/>
  <c r="AC66"/>
  <c r="AD66"/>
  <c r="AB66" s="1"/>
  <c r="AE66"/>
  <c r="AF66"/>
  <c r="CT66" s="1"/>
  <c r="S66" s="1"/>
  <c r="AG66"/>
  <c r="AH66"/>
  <c r="CV66" s="1"/>
  <c r="U66" s="1"/>
  <c r="AI66"/>
  <c r="AJ66"/>
  <c r="CX66" s="1"/>
  <c r="W66" s="1"/>
  <c r="CQ66"/>
  <c r="P66" s="1"/>
  <c r="CS66"/>
  <c r="R66" s="1"/>
  <c r="GK66" s="1"/>
  <c r="CU66"/>
  <c r="T66" s="1"/>
  <c r="CW66"/>
  <c r="V66" s="1"/>
  <c r="FR66"/>
  <c r="GL66"/>
  <c r="GO66"/>
  <c r="GP66"/>
  <c r="GV66"/>
  <c r="GX66"/>
  <c r="AC67"/>
  <c r="AD67"/>
  <c r="AB67" s="1"/>
  <c r="AE67"/>
  <c r="AF67"/>
  <c r="CT67" s="1"/>
  <c r="S67" s="1"/>
  <c r="AG67"/>
  <c r="AH67"/>
  <c r="CV67" s="1"/>
  <c r="U67" s="1"/>
  <c r="AI67"/>
  <c r="AJ67"/>
  <c r="CX67" s="1"/>
  <c r="W67" s="1"/>
  <c r="CQ67"/>
  <c r="P67" s="1"/>
  <c r="CS67"/>
  <c r="R67" s="1"/>
  <c r="GK67" s="1"/>
  <c r="CU67"/>
  <c r="T67" s="1"/>
  <c r="CW67"/>
  <c r="V67" s="1"/>
  <c r="FR67"/>
  <c r="GL67"/>
  <c r="GO67"/>
  <c r="GP67"/>
  <c r="GV67"/>
  <c r="GX67"/>
  <c r="B69"/>
  <c r="B22" s="1"/>
  <c r="C69"/>
  <c r="C22" s="1"/>
  <c r="D69"/>
  <c r="D22" s="1"/>
  <c r="F69"/>
  <c r="F22" s="1"/>
  <c r="G69"/>
  <c r="G22" s="1"/>
  <c r="AF69"/>
  <c r="AF22" s="1"/>
  <c r="AH69"/>
  <c r="AH22" s="1"/>
  <c r="AJ69"/>
  <c r="AJ22" s="1"/>
  <c r="AP69"/>
  <c r="AP22" s="1"/>
  <c r="AT69"/>
  <c r="AT22" s="1"/>
  <c r="BB69"/>
  <c r="BB22" s="1"/>
  <c r="BX69"/>
  <c r="BX22" s="1"/>
  <c r="BY69"/>
  <c r="BY22" s="1"/>
  <c r="BZ69"/>
  <c r="BZ22" s="1"/>
  <c r="CC69"/>
  <c r="CC22" s="1"/>
  <c r="CD69"/>
  <c r="CD22" s="1"/>
  <c r="CJ69"/>
  <c r="CJ22" s="1"/>
  <c r="CK69"/>
  <c r="CK22" s="1"/>
  <c r="CL69"/>
  <c r="CL22" s="1"/>
  <c r="DX69"/>
  <c r="DX22" s="1"/>
  <c r="DZ69"/>
  <c r="DZ22" s="1"/>
  <c r="EB69"/>
  <c r="EB22" s="1"/>
  <c r="EH69"/>
  <c r="EH22" s="1"/>
  <c r="EL69"/>
  <c r="EL22" s="1"/>
  <c r="ET69"/>
  <c r="ET22" s="1"/>
  <c r="FP69"/>
  <c r="FP22" s="1"/>
  <c r="FQ69"/>
  <c r="FQ22" s="1"/>
  <c r="FR69"/>
  <c r="FR22" s="1"/>
  <c r="FU69"/>
  <c r="FU22" s="1"/>
  <c r="FV69"/>
  <c r="FV22" s="1"/>
  <c r="GB69"/>
  <c r="GB22" s="1"/>
  <c r="GC69"/>
  <c r="GC22" s="1"/>
  <c r="GD69"/>
  <c r="GD22" s="1"/>
  <c r="P78"/>
  <c r="P82"/>
  <c r="P87"/>
  <c r="U16" i="2" s="1"/>
  <c r="U18" s="1"/>
  <c r="B104" i="1"/>
  <c r="B18" s="1"/>
  <c r="C104"/>
  <c r="C18" s="1"/>
  <c r="D104"/>
  <c r="D18" s="1"/>
  <c r="F104"/>
  <c r="F18" s="1"/>
  <c r="G104"/>
  <c r="G18" s="1"/>
  <c r="AP104"/>
  <c r="AP18" s="1"/>
  <c r="AT104"/>
  <c r="AT18" s="1"/>
  <c r="BB104"/>
  <c r="BB18" s="1"/>
  <c r="EH104"/>
  <c r="EH18" s="1"/>
  <c r="EL104"/>
  <c r="EL18" s="1"/>
  <c r="ET104"/>
  <c r="ET18" s="1"/>
  <c r="F113"/>
  <c r="F117"/>
  <c r="F122"/>
  <c r="V16" i="2"/>
  <c r="V18" s="1"/>
  <c r="G26" i="5" l="1"/>
  <c r="G153"/>
  <c r="J153"/>
  <c r="DY22" i="1"/>
  <c r="DL69"/>
  <c r="AI22"/>
  <c r="V69"/>
  <c r="EA22"/>
  <c r="DN69"/>
  <c r="AG22"/>
  <c r="T69"/>
  <c r="P122"/>
  <c r="P117"/>
  <c r="P113"/>
  <c r="F87"/>
  <c r="F16" i="2" s="1"/>
  <c r="F18" s="1"/>
  <c r="F82" i="1"/>
  <c r="F78"/>
  <c r="G16" i="2" s="1"/>
  <c r="G18" s="1"/>
  <c r="GA69" i="1"/>
  <c r="FY69"/>
  <c r="EU69"/>
  <c r="ES69"/>
  <c r="EM69"/>
  <c r="EI69"/>
  <c r="EG69"/>
  <c r="DO69"/>
  <c r="DM69"/>
  <c r="DK69"/>
  <c r="CI69"/>
  <c r="CG69"/>
  <c r="BC69"/>
  <c r="BA69"/>
  <c r="AU69"/>
  <c r="AQ69"/>
  <c r="AO69"/>
  <c r="W69"/>
  <c r="S69"/>
  <c r="CY67"/>
  <c r="X67" s="1"/>
  <c r="CZ67"/>
  <c r="Y67" s="1"/>
  <c r="CY66"/>
  <c r="X66" s="1"/>
  <c r="CZ66"/>
  <c r="Y66" s="1"/>
  <c r="CY65"/>
  <c r="X65" s="1"/>
  <c r="CZ65"/>
  <c r="Y65" s="1"/>
  <c r="CY64"/>
  <c r="X64" s="1"/>
  <c r="CZ64"/>
  <c r="Y64" s="1"/>
  <c r="CY63"/>
  <c r="X63" s="1"/>
  <c r="CZ63"/>
  <c r="Y63" s="1"/>
  <c r="AB58"/>
  <c r="CY57"/>
  <c r="X57" s="1"/>
  <c r="CZ57"/>
  <c r="Y57" s="1"/>
  <c r="AB54"/>
  <c r="CY53"/>
  <c r="X53" s="1"/>
  <c r="CZ53"/>
  <c r="Y53" s="1"/>
  <c r="AB50"/>
  <c r="CY49"/>
  <c r="X49" s="1"/>
  <c r="CZ49"/>
  <c r="Y49" s="1"/>
  <c r="AB46"/>
  <c r="CY45"/>
  <c r="X45" s="1"/>
  <c r="CZ45"/>
  <c r="Y45" s="1"/>
  <c r="GK44"/>
  <c r="CY44"/>
  <c r="X44" s="1"/>
  <c r="U69"/>
  <c r="CY61"/>
  <c r="X61" s="1"/>
  <c r="CZ61"/>
  <c r="Y61" s="1"/>
  <c r="CY60"/>
  <c r="X60" s="1"/>
  <c r="CZ60"/>
  <c r="Y60" s="1"/>
  <c r="CY59"/>
  <c r="X59" s="1"/>
  <c r="CZ59"/>
  <c r="Y59" s="1"/>
  <c r="CY55"/>
  <c r="X55" s="1"/>
  <c r="CZ55"/>
  <c r="Y55" s="1"/>
  <c r="CY51"/>
  <c r="X51" s="1"/>
  <c r="CZ51"/>
  <c r="Y51" s="1"/>
  <c r="CY47"/>
  <c r="X47" s="1"/>
  <c r="CZ47"/>
  <c r="Y47" s="1"/>
  <c r="CR67"/>
  <c r="Q67" s="1"/>
  <c r="CP67" s="1"/>
  <c r="O67" s="1"/>
  <c r="CR66"/>
  <c r="Q66" s="1"/>
  <c r="CP66" s="1"/>
  <c r="O66" s="1"/>
  <c r="CR65"/>
  <c r="Q65" s="1"/>
  <c r="CP65" s="1"/>
  <c r="O65" s="1"/>
  <c r="CR64"/>
  <c r="Q64" s="1"/>
  <c r="CP64" s="1"/>
  <c r="O64" s="1"/>
  <c r="CR63"/>
  <c r="Q63" s="1"/>
  <c r="CP63" s="1"/>
  <c r="O63" s="1"/>
  <c r="CS62"/>
  <c r="R62" s="1"/>
  <c r="GK62" s="1"/>
  <c r="CQ62"/>
  <c r="P62" s="1"/>
  <c r="CP62" s="1"/>
  <c r="O62" s="1"/>
  <c r="CR61"/>
  <c r="Q61" s="1"/>
  <c r="CP61" s="1"/>
  <c r="O61" s="1"/>
  <c r="CR60"/>
  <c r="Q60" s="1"/>
  <c r="CP60" s="1"/>
  <c r="O60" s="1"/>
  <c r="CR59"/>
  <c r="Q59" s="1"/>
  <c r="CP59" s="1"/>
  <c r="O59" s="1"/>
  <c r="CS58"/>
  <c r="R58" s="1"/>
  <c r="GK58" s="1"/>
  <c r="CQ58"/>
  <c r="P58" s="1"/>
  <c r="CP58" s="1"/>
  <c r="O58" s="1"/>
  <c r="CX108" i="3"/>
  <c r="CX107"/>
  <c r="CR57" i="1"/>
  <c r="Q57" s="1"/>
  <c r="CP57" s="1"/>
  <c r="O57" s="1"/>
  <c r="CS56"/>
  <c r="R56" s="1"/>
  <c r="GK56" s="1"/>
  <c r="CQ56"/>
  <c r="P56" s="1"/>
  <c r="CP56" s="1"/>
  <c r="O56" s="1"/>
  <c r="CR55"/>
  <c r="Q55" s="1"/>
  <c r="CP55" s="1"/>
  <c r="O55" s="1"/>
  <c r="CS54"/>
  <c r="R54" s="1"/>
  <c r="GK54" s="1"/>
  <c r="CQ54"/>
  <c r="P54" s="1"/>
  <c r="CP54" s="1"/>
  <c r="O54" s="1"/>
  <c r="CR53"/>
  <c r="Q53" s="1"/>
  <c r="CP53" s="1"/>
  <c r="O53" s="1"/>
  <c r="CS52"/>
  <c r="R52" s="1"/>
  <c r="GK52" s="1"/>
  <c r="CQ52"/>
  <c r="P52" s="1"/>
  <c r="CP52" s="1"/>
  <c r="O52" s="1"/>
  <c r="CR51"/>
  <c r="Q51" s="1"/>
  <c r="CP51" s="1"/>
  <c r="O51" s="1"/>
  <c r="CS50"/>
  <c r="R50" s="1"/>
  <c r="GK50" s="1"/>
  <c r="CQ50"/>
  <c r="P50" s="1"/>
  <c r="CP50" s="1"/>
  <c r="O50" s="1"/>
  <c r="CX86" i="3"/>
  <c r="CX88"/>
  <c r="CX90"/>
  <c r="CX92"/>
  <c r="CX94"/>
  <c r="CX85"/>
  <c r="CX89"/>
  <c r="CX93"/>
  <c r="CX91"/>
  <c r="CX87"/>
  <c r="CR49" i="1"/>
  <c r="Q49" s="1"/>
  <c r="CP49" s="1"/>
  <c r="O49" s="1"/>
  <c r="CS48"/>
  <c r="R48" s="1"/>
  <c r="GK48" s="1"/>
  <c r="CQ48"/>
  <c r="P48" s="1"/>
  <c r="CP48" s="1"/>
  <c r="O48" s="1"/>
  <c r="CR47"/>
  <c r="Q47" s="1"/>
  <c r="CP47" s="1"/>
  <c r="O47" s="1"/>
  <c r="CS46"/>
  <c r="R46" s="1"/>
  <c r="CQ46"/>
  <c r="P46" s="1"/>
  <c r="CP46" s="1"/>
  <c r="O46" s="1"/>
  <c r="CR45"/>
  <c r="Q45" s="1"/>
  <c r="DV69" s="1"/>
  <c r="CZ44"/>
  <c r="Y44" s="1"/>
  <c r="GN44" s="1"/>
  <c r="AB44"/>
  <c r="CX66" i="3"/>
  <c r="CX68"/>
  <c r="CX70"/>
  <c r="CX72"/>
  <c r="CX67"/>
  <c r="CX71"/>
  <c r="CX65"/>
  <c r="CX69"/>
  <c r="CX73"/>
  <c r="AB41" i="1"/>
  <c r="CY40"/>
  <c r="X40" s="1"/>
  <c r="CZ40"/>
  <c r="Y40" s="1"/>
  <c r="AB37"/>
  <c r="CY36"/>
  <c r="X36" s="1"/>
  <c r="CZ36"/>
  <c r="Y36" s="1"/>
  <c r="AB33"/>
  <c r="CX110" i="3"/>
  <c r="CX109"/>
  <c r="CX96"/>
  <c r="CX98"/>
  <c r="CX100"/>
  <c r="CX102"/>
  <c r="CX104"/>
  <c r="CX97"/>
  <c r="CX101"/>
  <c r="CX99"/>
  <c r="CX95"/>
  <c r="CX103"/>
  <c r="CX74"/>
  <c r="CX76"/>
  <c r="CX78"/>
  <c r="CX80"/>
  <c r="CX82"/>
  <c r="CX75"/>
  <c r="CX77"/>
  <c r="CX81"/>
  <c r="CX79"/>
  <c r="CY42" i="1"/>
  <c r="X42" s="1"/>
  <c r="CZ42"/>
  <c r="Y42" s="1"/>
  <c r="CY38"/>
  <c r="X38" s="1"/>
  <c r="CZ38"/>
  <c r="Y38" s="1"/>
  <c r="CY34"/>
  <c r="X34" s="1"/>
  <c r="CZ34"/>
  <c r="Y34" s="1"/>
  <c r="CS43"/>
  <c r="R43" s="1"/>
  <c r="GK43" s="1"/>
  <c r="CQ43"/>
  <c r="P43" s="1"/>
  <c r="CP43" s="1"/>
  <c r="O43" s="1"/>
  <c r="CR42"/>
  <c r="Q42" s="1"/>
  <c r="CP42" s="1"/>
  <c r="O42" s="1"/>
  <c r="CS41"/>
  <c r="R41" s="1"/>
  <c r="GK41" s="1"/>
  <c r="CQ41"/>
  <c r="P41" s="1"/>
  <c r="CP41" s="1"/>
  <c r="O41" s="1"/>
  <c r="CX56" i="3"/>
  <c r="CX58"/>
  <c r="CX60"/>
  <c r="CX62"/>
  <c r="CX64"/>
  <c r="CX59"/>
  <c r="CX63"/>
  <c r="CX57"/>
  <c r="CX61"/>
  <c r="CR40" i="1"/>
  <c r="Q40" s="1"/>
  <c r="CP40" s="1"/>
  <c r="O40" s="1"/>
  <c r="CS39"/>
  <c r="R39" s="1"/>
  <c r="GK39" s="1"/>
  <c r="CQ39"/>
  <c r="P39" s="1"/>
  <c r="CP39" s="1"/>
  <c r="O39" s="1"/>
  <c r="CR38"/>
  <c r="Q38" s="1"/>
  <c r="CP38" s="1"/>
  <c r="O38" s="1"/>
  <c r="CS37"/>
  <c r="R37" s="1"/>
  <c r="GK37" s="1"/>
  <c r="CQ37"/>
  <c r="P37" s="1"/>
  <c r="CP37" s="1"/>
  <c r="O37" s="1"/>
  <c r="CX40" i="3"/>
  <c r="CX42"/>
  <c r="CX44"/>
  <c r="CX46"/>
  <c r="CX39"/>
  <c r="CX43"/>
  <c r="CX41"/>
  <c r="CX45"/>
  <c r="CR36" i="1"/>
  <c r="Q36" s="1"/>
  <c r="CP36" s="1"/>
  <c r="O36" s="1"/>
  <c r="CS35"/>
  <c r="R35" s="1"/>
  <c r="GK35" s="1"/>
  <c r="CQ35"/>
  <c r="P35" s="1"/>
  <c r="CP35" s="1"/>
  <c r="O35" s="1"/>
  <c r="CR34"/>
  <c r="Q34" s="1"/>
  <c r="CP34" s="1"/>
  <c r="O34" s="1"/>
  <c r="CS33"/>
  <c r="R33" s="1"/>
  <c r="CQ33"/>
  <c r="P33" s="1"/>
  <c r="CP33" s="1"/>
  <c r="O33" s="1"/>
  <c r="CZ32"/>
  <c r="Y32" s="1"/>
  <c r="CY32"/>
  <c r="X32" s="1"/>
  <c r="CP32"/>
  <c r="O32" s="1"/>
  <c r="CY31"/>
  <c r="X31" s="1"/>
  <c r="CZ31"/>
  <c r="Y31" s="1"/>
  <c r="CP28"/>
  <c r="O28" s="1"/>
  <c r="AB27"/>
  <c r="CZ26"/>
  <c r="Y26" s="1"/>
  <c r="CY26"/>
  <c r="X26" s="1"/>
  <c r="CP24"/>
  <c r="O24" s="1"/>
  <c r="CX48" i="3"/>
  <c r="CX50"/>
  <c r="CX52"/>
  <c r="CX54"/>
  <c r="CX47"/>
  <c r="CX51"/>
  <c r="CX55"/>
  <c r="CX49"/>
  <c r="CX53"/>
  <c r="CX32"/>
  <c r="CX34"/>
  <c r="CX36"/>
  <c r="CX38"/>
  <c r="CX31"/>
  <c r="CX35"/>
  <c r="CX33"/>
  <c r="CX37"/>
  <c r="CY30" i="1"/>
  <c r="X30" s="1"/>
  <c r="CZ30"/>
  <c r="Y30" s="1"/>
  <c r="CZ28"/>
  <c r="Y28" s="1"/>
  <c r="CY28"/>
  <c r="X28" s="1"/>
  <c r="GM26"/>
  <c r="GN26"/>
  <c r="CZ24"/>
  <c r="Y24" s="1"/>
  <c r="CY24"/>
  <c r="X24" s="1"/>
  <c r="CX22" i="3"/>
  <c r="CX24"/>
  <c r="CX23"/>
  <c r="CX21"/>
  <c r="CX25"/>
  <c r="AB28" i="1"/>
  <c r="CX12" i="3"/>
  <c r="CX14"/>
  <c r="CX11"/>
  <c r="CX15"/>
  <c r="CX13"/>
  <c r="AB26" i="1"/>
  <c r="AB24"/>
  <c r="CX2" i="3"/>
  <c r="CX4"/>
  <c r="CX3"/>
  <c r="CX1"/>
  <c r="CX26"/>
  <c r="CX28"/>
  <c r="CX30"/>
  <c r="CX27"/>
  <c r="CX29"/>
  <c r="CQ31" i="1"/>
  <c r="P31" s="1"/>
  <c r="CP31" s="1"/>
  <c r="O31" s="1"/>
  <c r="CQ30"/>
  <c r="P30" s="1"/>
  <c r="CS29"/>
  <c r="R29" s="1"/>
  <c r="GK29" s="1"/>
  <c r="CQ29"/>
  <c r="P29" s="1"/>
  <c r="CP29" s="1"/>
  <c r="O29" s="1"/>
  <c r="CX16" i="3"/>
  <c r="CX18"/>
  <c r="CX20"/>
  <c r="CX19"/>
  <c r="CX17"/>
  <c r="CS27" i="1"/>
  <c r="R27" s="1"/>
  <c r="GK27" s="1"/>
  <c r="CQ27"/>
  <c r="P27" s="1"/>
  <c r="CP27" s="1"/>
  <c r="O27" s="1"/>
  <c r="CS25"/>
  <c r="R25" s="1"/>
  <c r="CQ25"/>
  <c r="P25" s="1"/>
  <c r="CX6" i="3"/>
  <c r="CX8"/>
  <c r="CX7"/>
  <c r="CX5"/>
  <c r="GN36" i="1" l="1"/>
  <c r="GM36"/>
  <c r="GN34"/>
  <c r="GM34"/>
  <c r="GN38"/>
  <c r="GM38"/>
  <c r="GN47"/>
  <c r="GM47"/>
  <c r="GN51"/>
  <c r="GM51"/>
  <c r="GN55"/>
  <c r="GM55"/>
  <c r="GN59"/>
  <c r="GM59"/>
  <c r="GN61"/>
  <c r="GM61"/>
  <c r="GN64"/>
  <c r="GM64"/>
  <c r="GN66"/>
  <c r="GM66"/>
  <c r="GN40"/>
  <c r="GM40"/>
  <c r="GN42"/>
  <c r="GM42"/>
  <c r="GN49"/>
  <c r="GM49"/>
  <c r="GN53"/>
  <c r="GM53"/>
  <c r="GN57"/>
  <c r="GM57"/>
  <c r="GN60"/>
  <c r="GM60"/>
  <c r="GN63"/>
  <c r="GM63"/>
  <c r="GN65"/>
  <c r="GM65"/>
  <c r="GN67"/>
  <c r="GM67"/>
  <c r="GK25"/>
  <c r="DW69"/>
  <c r="CP30"/>
  <c r="O30" s="1"/>
  <c r="AC69"/>
  <c r="CZ27"/>
  <c r="Y27" s="1"/>
  <c r="CZ25"/>
  <c r="Y25" s="1"/>
  <c r="CZ29"/>
  <c r="Y29" s="1"/>
  <c r="GM32"/>
  <c r="GN32"/>
  <c r="CZ33"/>
  <c r="Y33" s="1"/>
  <c r="GK33"/>
  <c r="CZ37"/>
  <c r="Y37" s="1"/>
  <c r="CY41"/>
  <c r="X41" s="1"/>
  <c r="GM41" s="1"/>
  <c r="CZ35"/>
  <c r="Y35" s="1"/>
  <c r="CZ39"/>
  <c r="Y39" s="1"/>
  <c r="CZ43"/>
  <c r="Y43" s="1"/>
  <c r="DV22"/>
  <c r="DI69"/>
  <c r="GK46"/>
  <c r="AE69"/>
  <c r="GM44"/>
  <c r="CY46"/>
  <c r="X46" s="1"/>
  <c r="AK69" s="1"/>
  <c r="CZ50"/>
  <c r="Y50" s="1"/>
  <c r="CY54"/>
  <c r="X54" s="1"/>
  <c r="CZ58"/>
  <c r="Y58" s="1"/>
  <c r="U22"/>
  <c r="U104"/>
  <c r="F91"/>
  <c r="CZ48"/>
  <c r="Y48" s="1"/>
  <c r="CZ52"/>
  <c r="Y52" s="1"/>
  <c r="CZ56"/>
  <c r="Y56" s="1"/>
  <c r="CZ62"/>
  <c r="Y62" s="1"/>
  <c r="W22"/>
  <c r="W104"/>
  <c r="F93"/>
  <c r="AQ22"/>
  <c r="F79"/>
  <c r="AQ104"/>
  <c r="BA22"/>
  <c r="F89"/>
  <c r="BA104"/>
  <c r="CG22"/>
  <c r="AX69"/>
  <c r="DK22"/>
  <c r="P84"/>
  <c r="DK104"/>
  <c r="DO22"/>
  <c r="P93"/>
  <c r="DO104"/>
  <c r="EI22"/>
  <c r="EI104"/>
  <c r="P79"/>
  <c r="ES22"/>
  <c r="P89"/>
  <c r="ES104"/>
  <c r="FY22"/>
  <c r="EP69"/>
  <c r="T22"/>
  <c r="F90"/>
  <c r="T104"/>
  <c r="DN22"/>
  <c r="DN104"/>
  <c r="P92"/>
  <c r="V22"/>
  <c r="F92"/>
  <c r="V104"/>
  <c r="DL22"/>
  <c r="DL104"/>
  <c r="P90"/>
  <c r="CP25"/>
  <c r="O25" s="1"/>
  <c r="DU69"/>
  <c r="GN31"/>
  <c r="GM31"/>
  <c r="CY27"/>
  <c r="X27" s="1"/>
  <c r="GN27" s="1"/>
  <c r="GM24"/>
  <c r="GN24"/>
  <c r="AB69"/>
  <c r="CY25"/>
  <c r="X25" s="1"/>
  <c r="GM28"/>
  <c r="GN28"/>
  <c r="CY29"/>
  <c r="X29" s="1"/>
  <c r="GN29" s="1"/>
  <c r="AD69"/>
  <c r="CY33"/>
  <c r="X33" s="1"/>
  <c r="GN33" s="1"/>
  <c r="CY37"/>
  <c r="X37" s="1"/>
  <c r="GM37" s="1"/>
  <c r="CZ41"/>
  <c r="Y41" s="1"/>
  <c r="CY35"/>
  <c r="X35" s="1"/>
  <c r="GM35" s="1"/>
  <c r="CY39"/>
  <c r="X39" s="1"/>
  <c r="GM39" s="1"/>
  <c r="CY43"/>
  <c r="X43" s="1"/>
  <c r="GM43" s="1"/>
  <c r="GN50"/>
  <c r="GN58"/>
  <c r="CP45"/>
  <c r="O45" s="1"/>
  <c r="CZ46"/>
  <c r="Y46" s="1"/>
  <c r="AL69" s="1"/>
  <c r="CY50"/>
  <c r="X50" s="1"/>
  <c r="GM50" s="1"/>
  <c r="CZ54"/>
  <c r="Y54" s="1"/>
  <c r="GM54" s="1"/>
  <c r="CY58"/>
  <c r="X58" s="1"/>
  <c r="GM58" s="1"/>
  <c r="CY48"/>
  <c r="X48" s="1"/>
  <c r="GN48" s="1"/>
  <c r="CY52"/>
  <c r="X52" s="1"/>
  <c r="GN52" s="1"/>
  <c r="CY56"/>
  <c r="X56" s="1"/>
  <c r="GN56" s="1"/>
  <c r="CY62"/>
  <c r="X62" s="1"/>
  <c r="GN62" s="1"/>
  <c r="S22"/>
  <c r="S104"/>
  <c r="F84"/>
  <c r="J16" i="2" s="1"/>
  <c r="J18" s="1"/>
  <c r="AO22" i="1"/>
  <c r="F73"/>
  <c r="AO104"/>
  <c r="AU22"/>
  <c r="F88"/>
  <c r="H16" i="2" s="1"/>
  <c r="H18" s="1"/>
  <c r="AU104" i="1"/>
  <c r="BC22"/>
  <c r="F85"/>
  <c r="BC104"/>
  <c r="CI22"/>
  <c r="AZ69"/>
  <c r="DM22"/>
  <c r="P91"/>
  <c r="I27" i="5" s="1"/>
  <c r="G27" s="1"/>
  <c r="DM104" i="1"/>
  <c r="EG22"/>
  <c r="P73"/>
  <c r="EG104"/>
  <c r="EM22"/>
  <c r="P88"/>
  <c r="W16" i="2" s="1"/>
  <c r="W18" s="1"/>
  <c r="EM104" i="1"/>
  <c r="EU22"/>
  <c r="P85"/>
  <c r="EU104"/>
  <c r="GA22"/>
  <c r="ER69"/>
  <c r="Y16" i="2" l="1"/>
  <c r="Y18" s="1"/>
  <c r="AL22" i="1"/>
  <c r="Y69"/>
  <c r="AK22"/>
  <c r="X69"/>
  <c r="DM18"/>
  <c r="P126"/>
  <c r="AU18"/>
  <c r="F123"/>
  <c r="GN54"/>
  <c r="GN46"/>
  <c r="GN43"/>
  <c r="GN37"/>
  <c r="AD22"/>
  <c r="Q69"/>
  <c r="GM33"/>
  <c r="EC69"/>
  <c r="GM27"/>
  <c r="DU22"/>
  <c r="FX69"/>
  <c r="FZ69"/>
  <c r="FW69"/>
  <c r="DH69"/>
  <c r="EP22"/>
  <c r="P76"/>
  <c r="EP104"/>
  <c r="ES18"/>
  <c r="P124"/>
  <c r="EI18"/>
  <c r="P114"/>
  <c r="DO18"/>
  <c r="P128"/>
  <c r="AX22"/>
  <c r="AX104"/>
  <c r="F76"/>
  <c r="BA18"/>
  <c r="F124"/>
  <c r="U18"/>
  <c r="F126"/>
  <c r="GM62"/>
  <c r="GM56"/>
  <c r="GM52"/>
  <c r="GM48"/>
  <c r="GN41"/>
  <c r="GN39"/>
  <c r="GN35"/>
  <c r="AC22"/>
  <c r="P69"/>
  <c r="CE69"/>
  <c r="CF69"/>
  <c r="CH69"/>
  <c r="GM29"/>
  <c r="DW22"/>
  <c r="DJ69"/>
  <c r="EM18"/>
  <c r="P123"/>
  <c r="ER22"/>
  <c r="P80"/>
  <c r="ER104"/>
  <c r="EU18"/>
  <c r="P120"/>
  <c r="EG18"/>
  <c r="P108"/>
  <c r="AZ22"/>
  <c r="AZ104"/>
  <c r="F80"/>
  <c r="BC18"/>
  <c r="F120"/>
  <c r="AO18"/>
  <c r="F108"/>
  <c r="S18"/>
  <c r="F119"/>
  <c r="GN45"/>
  <c r="GM45"/>
  <c r="GM46"/>
  <c r="AB22"/>
  <c r="O69"/>
  <c r="GN25"/>
  <c r="FT69" s="1"/>
  <c r="GM25"/>
  <c r="FS69" s="1"/>
  <c r="DT69"/>
  <c r="DL18"/>
  <c r="P125"/>
  <c r="V18"/>
  <c r="F127"/>
  <c r="DN18"/>
  <c r="P127"/>
  <c r="T18"/>
  <c r="F125"/>
  <c r="DK18"/>
  <c r="P119"/>
  <c r="AQ18"/>
  <c r="F114"/>
  <c r="W18"/>
  <c r="F128"/>
  <c r="AE22"/>
  <c r="R69"/>
  <c r="DI22"/>
  <c r="P81"/>
  <c r="DI104"/>
  <c r="ED69"/>
  <c r="GN30"/>
  <c r="CB69" s="1"/>
  <c r="GM30"/>
  <c r="CA69" s="1"/>
  <c r="CB22" l="1"/>
  <c r="AS69"/>
  <c r="CA22"/>
  <c r="AR69"/>
  <c r="DI18"/>
  <c r="P116"/>
  <c r="FS22"/>
  <c r="EJ69"/>
  <c r="DJ22"/>
  <c r="P83"/>
  <c r="I28" i="5" s="1"/>
  <c r="DJ104" i="1"/>
  <c r="CF22"/>
  <c r="AW69"/>
  <c r="P22"/>
  <c r="F72"/>
  <c r="P104"/>
  <c r="AX18"/>
  <c r="F111"/>
  <c r="EP18"/>
  <c r="P111"/>
  <c r="FW22"/>
  <c r="EN69"/>
  <c r="FX22"/>
  <c r="EO69"/>
  <c r="EC22"/>
  <c r="DP69"/>
  <c r="Q22"/>
  <c r="Q104"/>
  <c r="F81"/>
  <c r="X22"/>
  <c r="F94"/>
  <c r="F98" s="1"/>
  <c r="X104"/>
  <c r="Y22"/>
  <c r="Y104"/>
  <c r="F95"/>
  <c r="F99" s="1"/>
  <c r="ED22"/>
  <c r="DQ69"/>
  <c r="R22"/>
  <c r="F83"/>
  <c r="R104"/>
  <c r="DT22"/>
  <c r="DG69"/>
  <c r="FT22"/>
  <c r="EK69"/>
  <c r="O22"/>
  <c r="O104"/>
  <c r="F71"/>
  <c r="F97" s="1"/>
  <c r="F100" s="1"/>
  <c r="AZ18"/>
  <c r="F115"/>
  <c r="ER18"/>
  <c r="P115"/>
  <c r="CH22"/>
  <c r="AY69"/>
  <c r="CE22"/>
  <c r="AV69"/>
  <c r="DH22"/>
  <c r="P72"/>
  <c r="DH104"/>
  <c r="FZ22"/>
  <c r="EQ69"/>
  <c r="EQ22" l="1"/>
  <c r="P77"/>
  <c r="EQ104"/>
  <c r="DH18"/>
  <c r="P107"/>
  <c r="O18"/>
  <c r="F106"/>
  <c r="EK22"/>
  <c r="P86"/>
  <c r="T16" i="2" s="1"/>
  <c r="EK104" i="1"/>
  <c r="DG22"/>
  <c r="P71"/>
  <c r="P97" s="1"/>
  <c r="J156" i="5" s="1"/>
  <c r="DG104" i="1"/>
  <c r="R18"/>
  <c r="F118"/>
  <c r="Y18"/>
  <c r="F130"/>
  <c r="X18"/>
  <c r="F129"/>
  <c r="Q18"/>
  <c r="F116"/>
  <c r="DP22"/>
  <c r="DP104"/>
  <c r="P94"/>
  <c r="P98" s="1"/>
  <c r="J157" i="5" s="1"/>
  <c r="EO22" i="1"/>
  <c r="P75"/>
  <c r="EO104"/>
  <c r="EN22"/>
  <c r="P74"/>
  <c r="EN104"/>
  <c r="P18"/>
  <c r="F107"/>
  <c r="EJ22"/>
  <c r="EJ104"/>
  <c r="P96"/>
  <c r="AR22"/>
  <c r="AR104"/>
  <c r="F96"/>
  <c r="AS22"/>
  <c r="F86"/>
  <c r="E16" i="2" s="1"/>
  <c r="AS104" i="1"/>
  <c r="AV22"/>
  <c r="AV104"/>
  <c r="F74"/>
  <c r="AY22"/>
  <c r="F77"/>
  <c r="AY104"/>
  <c r="F101"/>
  <c r="F102" s="1"/>
  <c r="DQ22"/>
  <c r="P95"/>
  <c r="P99" s="1"/>
  <c r="J158" i="5" s="1"/>
  <c r="DQ104" i="1"/>
  <c r="AW22"/>
  <c r="F75"/>
  <c r="AW104"/>
  <c r="DJ18"/>
  <c r="P118"/>
  <c r="J159" i="5" l="1"/>
  <c r="DQ18" i="1"/>
  <c r="P130"/>
  <c r="E18" i="2"/>
  <c r="I16"/>
  <c r="I18" s="1"/>
  <c r="EJ18" i="1"/>
  <c r="P131"/>
  <c r="EN18"/>
  <c r="P109"/>
  <c r="P100"/>
  <c r="EK18"/>
  <c r="P121"/>
  <c r="AW18"/>
  <c r="F110"/>
  <c r="AY18"/>
  <c r="F112"/>
  <c r="AV18"/>
  <c r="F109"/>
  <c r="AS18"/>
  <c r="F121"/>
  <c r="AR18"/>
  <c r="F131"/>
  <c r="EO18"/>
  <c r="P110"/>
  <c r="DP18"/>
  <c r="P129"/>
  <c r="DG18"/>
  <c r="P106"/>
  <c r="X16" i="2"/>
  <c r="X18" s="1"/>
  <c r="T18"/>
  <c r="EQ18" i="1"/>
  <c r="P112"/>
  <c r="J160" i="5" l="1"/>
  <c r="J161" s="1"/>
  <c r="I26" s="1"/>
  <c r="P101" i="1"/>
  <c r="P102" s="1"/>
</calcChain>
</file>

<file path=xl/sharedStrings.xml><?xml version="1.0" encoding="utf-8"?>
<sst xmlns="http://schemas.openxmlformats.org/spreadsheetml/2006/main" count="3709" uniqueCount="417">
  <si>
    <t>Smeta.RU  (495) 974-1589</t>
  </si>
  <si>
    <t>_PS_</t>
  </si>
  <si>
    <t>Smeta.RU</t>
  </si>
  <si>
    <t/>
  </si>
  <si>
    <t>Дорогобуж</t>
  </si>
  <si>
    <t>Благоустройство площадки</t>
  </si>
  <si>
    <t>Сметные нормы списания</t>
  </si>
  <si>
    <t>Коды ценников</t>
  </si>
  <si>
    <t>ТСНБ-2001 Смоленской области (редакция 2014 г)</t>
  </si>
  <si>
    <t>ТР для Версии 8: Центральные регионы (с учетом п-ма 2536-ИП/12/ГС от 27.11.12)</t>
  </si>
  <si>
    <t>Новая локальная смета</t>
  </si>
  <si>
    <t>*1,25</t>
  </si>
  <si>
    <t>*1,15</t>
  </si>
  <si>
    <t>1</t>
  </si>
  <si>
    <t>68-14-1</t>
  </si>
  <si>
    <t>Разборка бортовых камней: на бетонном основании</t>
  </si>
  <si>
    <t>100 м</t>
  </si>
  <si>
    <t>ТЕР Смоленской обл.,68-14-1 Пр. Минстроя России от 13.03.2015 № 171/пр</t>
  </si>
  <si>
    <t>Ремонтно-строительные работы</t>
  </si>
  <si>
    <t>Благоустройство</t>
  </si>
  <si>
    <t>рФЕР-68</t>
  </si>
  <si>
    <t>*0,85</t>
  </si>
  <si>
    <t>*0,8</t>
  </si>
  <si>
    <t>2</t>
  </si>
  <si>
    <t>68-20-1</t>
  </si>
  <si>
    <t>Разборка брусчатки с их отноской и укладкой в штабель</t>
  </si>
  <si>
    <t>100 м2 основания</t>
  </si>
  <si>
    <t>ТЕР Смоленской обл.,68-20-1 Пр. Минстроя России от 13.03.2015 № 171/пр</t>
  </si>
  <si>
    <t>3</t>
  </si>
  <si>
    <t>01-01-014-5</t>
  </si>
  <si>
    <t>Разработка грунта с погрузкой на автомобили-самосвалы экскаваторами с ковшом вместимостью: 0,25 м3, группа грунтов 2</t>
  </si>
  <si>
    <t>1000 м3 грунта</t>
  </si>
  <si>
    <t>ТЕР Смоленской обл.,01-01-014-5 Пр. Минстроя России от 13.03.2015 № 171/пр</t>
  </si>
  <si>
    <t>Общестроительные работы</t>
  </si>
  <si>
    <t>Земляные работы, выполняемые  механизированным способом</t>
  </si>
  <si>
    <t>ФЕР-01</t>
  </si>
  <si>
    <t>4</t>
  </si>
  <si>
    <t>пг03-21-01-005</t>
  </si>
  <si>
    <t>Перевозка грузов автомобилями-самосвалами грузоподъемностью 10 т, работающих вне карьера, на расстояние: до 5 км I класс груза</t>
  </si>
  <si>
    <t>1 Т ГРУЗА</t>
  </si>
  <si>
    <t>ТЕР Смоленской обл.,пг03-21-01-005 Пр. Минстроя России от 13.03.2015 № 171/пр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</si>
  <si>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</si>
  <si>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</si>
  <si>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</si>
  <si>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5</t>
  </si>
  <si>
    <t>47-01-125-1</t>
  </si>
  <si>
    <t>Уничтожение сорняков на дорожках и площадках ядохимикатами</t>
  </si>
  <si>
    <t>1000 м2</t>
  </si>
  <si>
    <t>ТЕР Смоленской обл.,47-01-125-1 Пр. Минстроя России от 13.03.2015 № 171/пр</t>
  </si>
  <si>
    <t>Озеленение. Защитные лесонасаждения</t>
  </si>
  <si>
    <t>ФЕР-47</t>
  </si>
  <si>
    <t>5,1</t>
  </si>
  <si>
    <t>Цена поставщика</t>
  </si>
  <si>
    <t>Гербицид для борьбы с сорняками Joy ГЛИФОР, флакон 50 мл</t>
  </si>
  <si>
    <t>ШТ</t>
  </si>
  <si>
    <t>ТССЦ Смоленской обл.,114-9060 Пр. Минстроя России от 13.03.2015 № 171/пр</t>
  </si>
  <si>
    <t>[195,9 / 1,18 /  5,9] +  2% Заг.скл</t>
  </si>
  <si>
    <t>6</t>
  </si>
  <si>
    <t>27-04-001-1</t>
  </si>
  <si>
    <t>Устройство подстилающих и выравнивающих слоев оснований: из песка</t>
  </si>
  <si>
    <t>100 м3 материала основания (в плотном теле)</t>
  </si>
  <si>
    <t>ТЕР Смоленской обл.,27-04-001-1 Пр. Минстроя России от 13.03.2015 № 171/пр</t>
  </si>
  <si>
    <t>)*1,25</t>
  </si>
  <si>
    <t>)*1,15</t>
  </si>
  <si>
    <t>Автомобильные дороги</t>
  </si>
  <si>
    <t>ФЕР-27</t>
  </si>
  <si>
    <t>6,1</t>
  </si>
  <si>
    <t>408-0122</t>
  </si>
  <si>
    <t>Песок природный для строительных работ средний</t>
  </si>
  <si>
    <t>м3</t>
  </si>
  <si>
    <t>ТССЦ Смоленской обл.,408-0122 Пр. Минстроя России от 13.03.2015 № 171/пр</t>
  </si>
  <si>
    <t>7</t>
  </si>
  <si>
    <t>27-04-001-4</t>
  </si>
  <si>
    <t>Устройство подстилающих и выравнивающих слоев оснований: из щебня</t>
  </si>
  <si>
    <t>ТЕР Смоленской обл.,27-04-001-4 Пр. Минстроя России от 13.03.2015 № 171/пр</t>
  </si>
  <si>
    <t>7,1</t>
  </si>
  <si>
    <t>408-0038</t>
  </si>
  <si>
    <t>Щебень из природного камня для строительных работ марка 800, фракция 5-20 мм</t>
  </si>
  <si>
    <t>ТССЦ Смоленской обл.,408-0038 Пр. Минстроя России от 13.03.2015 № 171/пр</t>
  </si>
  <si>
    <t>8</t>
  </si>
  <si>
    <t>27-02-010-2</t>
  </si>
  <si>
    <t>Установка бортовых камней бетонных: при других видах покрытий</t>
  </si>
  <si>
    <t>100 м бортового камня</t>
  </si>
  <si>
    <t>ТЕР Смоленской обл.,27-02-010-2 Пр. Минстроя России от 13.03.2015 № 171/пр</t>
  </si>
  <si>
    <t>8,1</t>
  </si>
  <si>
    <t>403-8023</t>
  </si>
  <si>
    <t>Камни бортовые БР 100.20.8 /бетон В22,5 (М300), объем 0,016 м3/ (ГОСТ 6665-91)</t>
  </si>
  <si>
    <t>шт.</t>
  </si>
  <si>
    <t>ТССЦ Смоленской обл.,403-8023 Пр. Минстроя России от 13.03.2015 № 171/пр</t>
  </si>
  <si>
    <t>9</t>
  </si>
  <si>
    <t>01-02-061-2</t>
  </si>
  <si>
    <t>Засыпка вручную траншей, пазух котлованов и ям, группа грунтов: 2</t>
  </si>
  <si>
    <t>100 м3 грунта</t>
  </si>
  <si>
    <t>ТЕР Смоленской обл.,01-02-061-2 Пр. Минстроя России от 13.03.2015 № 171/пр</t>
  </si>
  <si>
    <t>Земляные работы, выполняемые  ручным способом</t>
  </si>
  <si>
    <t>10</t>
  </si>
  <si>
    <t>27-07-003-2</t>
  </si>
  <si>
    <t>Устройство бетонных плитных тротуаров с заполнением швов: песком</t>
  </si>
  <si>
    <t>100 м2 тротуара</t>
  </si>
  <si>
    <t>ТЕР Смоленской обл.,27-07-003-2 Пр. Минстроя России от 13.03.2015 № 171/пр</t>
  </si>
  <si>
    <t>10,1</t>
  </si>
  <si>
    <t>403-0104</t>
  </si>
  <si>
    <t>Плиты бетонные и цементно-песчаные для тротуаров, полов и облицовки, марки 300, толщина 35 мм</t>
  </si>
  <si>
    <t>м2</t>
  </si>
  <si>
    <t>ТССЦ Смоленской обл.,403-0104 Пр. Минстроя России от 13.03.2015 № 171/пр</t>
  </si>
  <si>
    <t>занесена вручную</t>
  </si>
  <si>
    <t>10,2</t>
  </si>
  <si>
    <t>403-8723</t>
  </si>
  <si>
    <t>Плитка тротуарная декоративная (брусчатка) "ВОЛНА", толщина 60 мм, серая</t>
  </si>
  <si>
    <t>ТССЦ Смоленской обл.,403-8723 Пр. Минстроя России от 13.03.2015 № 171/пр</t>
  </si>
  <si>
    <t>11</t>
  </si>
  <si>
    <t>01-02-027-5</t>
  </si>
  <si>
    <t>Планировка площадей: ручным способом, группа грунтов 2</t>
  </si>
  <si>
    <t>1000 м2 спланированной площади</t>
  </si>
  <si>
    <t>ТЕР Смоленской обл.,01-02-027-5 Пр. Минстроя России от 13.03.2015 № 171/пр</t>
  </si>
  <si>
    <t>Земляные работы по другим видам работ ( подготовительные, сопутствующие, укрепительные )</t>
  </si>
  <si>
    <t>12</t>
  </si>
  <si>
    <t>47-01-046-4</t>
  </si>
  <si>
    <t>Подготовка почвы для устройства партерного и обыкновенного газона с внесением растительной земли слоем 15 см: вручную</t>
  </si>
  <si>
    <t>100 м2</t>
  </si>
  <si>
    <t>ТЕР Смоленской обл.,47-01-046-4 Пр. Минстроя России от 13.03.2015 № 171/пр</t>
  </si>
  <si>
    <t>13</t>
  </si>
  <si>
    <t>47-02-093-2</t>
  </si>
  <si>
    <t>Посев: многолетних трав</t>
  </si>
  <si>
    <t>1 ГА</t>
  </si>
  <si>
    <t>ТЕР Смоленской обл.,47-02-093-2 Пр. Минстроя России от 13.03.2015 № 171/пр</t>
  </si>
  <si>
    <t>13,1</t>
  </si>
  <si>
    <t>414-0137</t>
  </si>
  <si>
    <t>Семена газонных трав (смесь)</t>
  </si>
  <si>
    <t>кг</t>
  </si>
  <si>
    <t>ТССЦ Смоленской обл.,414-0137 Пр. Минстроя России от 13.03.2015 № 171/пр</t>
  </si>
  <si>
    <t>14</t>
  </si>
  <si>
    <t>Монтаж сцены</t>
  </si>
  <si>
    <t>КОМП</t>
  </si>
  <si>
    <t>Материалы строительные</t>
  </si>
  <si>
    <t>Материалы, изделия и конструкции</t>
  </si>
  <si>
    <t>материалы (03)</t>
  </si>
  <si>
    <t>[524 024 / 1,18 /  5,9]</t>
  </si>
  <si>
    <t>15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</si>
  <si>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</si>
  <si>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</si>
  <si>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</si>
  <si>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</si>
  <si>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</si>
  <si>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</si>
  <si>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</si>
  <si>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</si>
  <si>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</si>
  <si>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</si>
  <si>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</si>
  <si>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</si>
  <si>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</si>
  <si>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</si>
  <si>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</si>
  <si>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</si>
  <si>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</si>
  <si>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</si>
  <si>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</si>
  <si>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</si>
  <si>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</si>
  <si>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</si>
  <si>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</si>
  <si>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</si>
  <si>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</si>
  <si>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</si>
  <si>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</si>
  <si>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</si>
  <si>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</si>
  <si>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</si>
  <si>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</si>
  <si>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</si>
  <si>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</si>
  <si>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</si>
  <si>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</si>
  <si>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</si>
  <si>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</si>
  <si>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</si>
  <si>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</si>
  <si>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</si>
  <si>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</si>
  <si>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</si>
  <si>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</si>
  <si>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</si>
  <si>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</si>
  <si>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</si>
  <si>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</si>
  <si>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</si>
  <si>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</si>
  <si>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</si>
  <si>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</si>
  <si>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</si>
  <si>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Итог1</t>
  </si>
  <si>
    <t>Итого прямые затраты</t>
  </si>
  <si>
    <t>Итог2</t>
  </si>
  <si>
    <t>Итог3</t>
  </si>
  <si>
    <t>Итог6</t>
  </si>
  <si>
    <t>Итого</t>
  </si>
  <si>
    <t>Итог7</t>
  </si>
  <si>
    <t>НДС 18%</t>
  </si>
  <si>
    <t>Итог8</t>
  </si>
  <si>
    <t>СТР_РЕК</t>
  </si>
  <si>
    <t>СТОИТЕЛЬСТВО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</si>
  <si>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</si>
  <si>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</si>
  <si>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</si>
  <si>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</si>
  <si>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</si>
  <si>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</si>
  <si>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</si>
  <si>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</si>
  <si>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</si>
  <si>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</si>
  <si>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</si>
  <si>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</si>
  <si>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</si>
  <si>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М/Т/Я</t>
  </si>
  <si>
    <t>Работы по строительству мосто, тоннелей, метрополитенов, атомных станций, объектов с ядерным топливом и радиокативными отходами ( письмо Госстроя РФ № 2536-ИП/12/ГС от 27.11.12), коэффициенты к НР =0,85 и к СП-0,8 не назначаются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</si>
  <si>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</si>
  <si>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</si>
  <si>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</si>
  <si>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</si>
  <si>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 тоннелях при  производве работ ЗАКРЫТЫМ СПОСОБОМ   {выкл} - Обслуживающие и сопутстующие работы 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</si>
  <si>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</si>
  <si>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</si>
  <si>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</si>
  <si>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</si>
  <si>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</si>
  <si>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</si>
  <si>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</si>
  <si>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К_НР_РЕМ</t>
  </si>
  <si>
    <t>при ремонте жилых и общестыеных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</si>
  <si>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</si>
  <si>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</si>
  <si>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</si>
  <si>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</si>
  <si>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</si>
  <si>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</si>
  <si>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</si>
  <si>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</si>
  <si>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</si>
  <si>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</si>
  <si>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</si>
  <si>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</si>
  <si>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</si>
  <si>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Кореектирвока НР с 3.12.12   если (М/Т/Я) = {выкл.}</t>
  </si>
  <si>
    <t>К_СП_12</t>
  </si>
  <si>
    <t>Кореектирвока СП с 3.12.12  в текущем уровне цен по письму  2536-ИП/12/ГС от 27.11.12  ( если (М/Т/Я)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</si>
  <si>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</si>
  <si>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</si>
  <si>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</si>
  <si>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</si>
  <si>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</si>
  <si>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спсобе производства работ   ( если {ХОЗ}= {вкл} )</t>
  </si>
  <si>
    <t>К_НР_СЛЖ</t>
  </si>
  <si>
    <t>Коэф.  при реконструкции сложных объектов  и  кап. ремонте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</si>
  <si>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</si>
  <si>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</si>
  <si>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Уровень цен</t>
  </si>
  <si>
    <t>Новый уровень цен</t>
  </si>
  <si>
    <t>Индексы за итогом</t>
  </si>
  <si>
    <t>_OBSM_</t>
  </si>
  <si>
    <t>1-1031-67</t>
  </si>
  <si>
    <t>Затраты труда рабочих (средний разряд работы 3,1)</t>
  </si>
  <si>
    <t>чел.ч</t>
  </si>
  <si>
    <t>ЧЕЛ.Ч</t>
  </si>
  <si>
    <t>Затраты труда машинистов</t>
  </si>
  <si>
    <t>чел.час</t>
  </si>
  <si>
    <t>050101</t>
  </si>
  <si>
    <t>ТСЭМ Смоленской обл.,050101 Пр. Минстроя России от 13.03.2015 № 171/пр</t>
  </si>
  <si>
    <t>Компрессоры передвижные с двигателем внутреннего сгорания давлением до 686 кПа (7 ат), производительность до 5 м3/мин</t>
  </si>
  <si>
    <t>маш.час</t>
  </si>
  <si>
    <t>330804</t>
  </si>
  <si>
    <t>ТСЭМ Смоленской обл.,330804 Пр. Минстроя России от 13.03.2015 № 171/пр</t>
  </si>
  <si>
    <t>Молотки при работе от передвижных компрессорных станций отбойные пневматические</t>
  </si>
  <si>
    <t>1-1017-67</t>
  </si>
  <si>
    <t>Затраты труда рабочих (средний разряд работы 1,7)</t>
  </si>
  <si>
    <t>1-1020-67</t>
  </si>
  <si>
    <t>Затраты труда рабочих (средний разряд работы 2,0)</t>
  </si>
  <si>
    <t>060337</t>
  </si>
  <si>
    <t>ТСЭМ Смоленской обл.,060337 Пр. Минстроя России от 13.03.2015 № 171/пр</t>
  </si>
  <si>
    <t>Экскаваторы одноковшовые дизельные на пневмоколесном ходу при работе на других видах строительства 0,25 м3</t>
  </si>
  <si>
    <t>070148</t>
  </si>
  <si>
    <t>ТСЭМ Смоленской обл.,070148 Пр. Минстроя России от 13.03.2015 № 171/пр</t>
  </si>
  <si>
    <t>Бульдозеры при работе на других видах строительства 59 кВт (80 л.с.)</t>
  </si>
  <si>
    <t>408-0015</t>
  </si>
  <si>
    <t>ТССЦ Смоленской обл.,408-0015 Пр. Минстроя России от 13.03.2015 № 171/пр</t>
  </si>
  <si>
    <t>Щебень из природного камня для строительных работ марка 800, фракция 20-40 мм</t>
  </si>
  <si>
    <t>1-1050-67</t>
  </si>
  <si>
    <t>Затраты труда рабочих (средний разряд работы 5,0)</t>
  </si>
  <si>
    <t>121601</t>
  </si>
  <si>
    <t>ТСЭМ Смоленской обл.,121601 Пр. Минстроя России от 13.03.2015 № 171/пр</t>
  </si>
  <si>
    <t>Машины поливомоечные 6000 л</t>
  </si>
  <si>
    <t>411-0001</t>
  </si>
  <si>
    <t>ТССЦ Смоленской обл.,411-0001 Пр. Минстроя России от 13.03.2015 № 171/пр</t>
  </si>
  <si>
    <t>Вода</t>
  </si>
  <si>
    <t>1-1023-67</t>
  </si>
  <si>
    <t>Затраты труда рабочих (средний разряд работы 2,3)</t>
  </si>
  <si>
    <t>030101</t>
  </si>
  <si>
    <t>ТСЭМ Смоленской обл.,030101 Пр. Минстроя России от 13.03.2015 № 171/пр</t>
  </si>
  <si>
    <t>Автопогрузчики 5 т</t>
  </si>
  <si>
    <t>120202</t>
  </si>
  <si>
    <t>ТСЭМ Смоленской обл.,120202 Пр. Минстроя России от 13.03.2015 № 171/пр</t>
  </si>
  <si>
    <t>Автогрейдеры среднего типа 99 кВт (135 л.с.)</t>
  </si>
  <si>
    <t>120911</t>
  </si>
  <si>
    <t>ТСЭМ Смоленской обл.,120911 Пр. Минстроя России от 13.03.2015 № 171/пр</t>
  </si>
  <si>
    <t>Катки на пневмоколесном ходу 30 т</t>
  </si>
  <si>
    <t>1-1024-67</t>
  </si>
  <si>
    <t>Затраты труда рабочих (средний разряд работы 2,4)</t>
  </si>
  <si>
    <t>070149</t>
  </si>
  <si>
    <t>ТСЭМ Смоленской обл.,070149 Пр. Минстроя России от 13.03.2015 № 171/пр</t>
  </si>
  <si>
    <t>Бульдозеры при работе на других видах строительства 79 кВт (108 л.с.)</t>
  </si>
  <si>
    <t>1-1029-67</t>
  </si>
  <si>
    <t>Затраты труда рабочих (средний разряд работы 2,9)</t>
  </si>
  <si>
    <t>021141</t>
  </si>
  <si>
    <t>ТСЭМ Смоленской обл.,021141 Пр. Минстроя России от 13.03.2015 № 171/пр</t>
  </si>
  <si>
    <t>Краны на автомобильном ходу при работе на других видах строительства 10 т</t>
  </si>
  <si>
    <t>400001</t>
  </si>
  <si>
    <t>ТСЭМ Смоленской обл.,400001 Пр. Минстроя России от 13.03.2015 № 171/пр</t>
  </si>
  <si>
    <t>Автомобили бортовые, грузоподъемность до 5 т</t>
  </si>
  <si>
    <t>101-1805</t>
  </si>
  <si>
    <t>ТССЦ Смоленской обл.,101-1805 Пр. Минстроя России от 13.03.2015 № 171/пр</t>
  </si>
  <si>
    <t>Гвозди строительные</t>
  </si>
  <si>
    <t>т</t>
  </si>
  <si>
    <t>102-0038</t>
  </si>
  <si>
    <t>ТССЦ Смоленской обл.,102-0038 Пр. Минстроя России от 13.03.2015 № 171/пр</t>
  </si>
  <si>
    <t>Брусья необрезные хвойных пород длиной 4-6,5 м, все ширины, толщиной 100, 125 мм, IV сорта</t>
  </si>
  <si>
    <t>401-0006</t>
  </si>
  <si>
    <t>ТССЦ Смоленской обл.,401-0006 Пр. Минстроя России от 13.03.2015 № 171/пр</t>
  </si>
  <si>
    <t>Бетон тяжелый, класс В15 (М200)</t>
  </si>
  <si>
    <t>402-0004</t>
  </si>
  <si>
    <t>ТССЦ Смоленской обл.,402-0004 Пр. Минстроя России от 13.03.2015 № 171/пр</t>
  </si>
  <si>
    <t>Раствор готовый кладочный цементный марки 100</t>
  </si>
  <si>
    <t>1-1015-67</t>
  </si>
  <si>
    <t>Затраты труда рабочих (средний разряд работы 1,5)</t>
  </si>
  <si>
    <t>1-1025-67</t>
  </si>
  <si>
    <t>Затраты труда рабочих (средний разряд работы 2,5)</t>
  </si>
  <si>
    <t>122801</t>
  </si>
  <si>
    <t>ТСЭМ Смоленской обл.,122801 Пр. Минстроя России от 13.03.2015 № 171/пр</t>
  </si>
  <si>
    <t>Виброплита с двигателем внутреннего сгорания</t>
  </si>
  <si>
    <t>407-0028</t>
  </si>
  <si>
    <t>ТССЦ Смоленской обл.,407-0028 Пр. Минстроя России от 13.03.2015 № 171/пр</t>
  </si>
  <si>
    <t>Смесь пескоцементная (цемент М 400)</t>
  </si>
  <si>
    <t>1-1030-67</t>
  </si>
  <si>
    <t>Затраты труда рабочих (средний разряд работы 3.0)</t>
  </si>
  <si>
    <t>1-1022-67</t>
  </si>
  <si>
    <t>Затраты труда рабочих (средний разряд работы 2,2)</t>
  </si>
  <si>
    <t>407-0013</t>
  </si>
  <si>
    <t>ТССЦ Смоленской обл.,407-0013 Пр. Минстроя России от 13.03.2015 № 171/пр</t>
  </si>
  <si>
    <t>Земля растительная механизированной заготовки</t>
  </si>
  <si>
    <t>010410</t>
  </si>
  <si>
    <t>ТСЭМ Смоленской обл.,010410 Пр. Минстроя России от 13.03.2015 № 171/пр</t>
  </si>
  <si>
    <t>Тракторы на пневмоколесном ходу при работе на других видах строительства 59 кВт (80 л.с.)</t>
  </si>
  <si>
    <t>092002</t>
  </si>
  <si>
    <t>ТСЭМ Смоленской обл.,092002 Пр. Минстроя России от 13.03.2015 № 171/пр</t>
  </si>
  <si>
    <t>Сеялки прицепные</t>
  </si>
  <si>
    <t>114-9060</t>
  </si>
  <si>
    <t>Ядохимикаты</t>
  </si>
  <si>
    <t>408-9040</t>
  </si>
  <si>
    <t>ТССЦ Смоленской обл.,408-9040 Пр. Минстроя России от 13.03.2015 № 171/пр</t>
  </si>
  <si>
    <t>Песок для строительных работ природный</t>
  </si>
  <si>
    <t>408-9080</t>
  </si>
  <si>
    <t>ТССЦ Смоленской обл.,408-9080 Пр. Минстроя России от 13.03.2015 № 171/пр</t>
  </si>
  <si>
    <t>Щебень</t>
  </si>
  <si>
    <t>413-9010</t>
  </si>
  <si>
    <t>ТССЦ Смоленской обл.,413-9010 Пр. Минстроя России от 13.03.2015 № 171/пр</t>
  </si>
  <si>
    <t>Камни бортовые</t>
  </si>
  <si>
    <t>м</t>
  </si>
  <si>
    <t>414-9220</t>
  </si>
  <si>
    <t>ТССЦ Смоленской обл.,414-9220 Пр. Минстроя России от 13.03.2015 № 171/пр</t>
  </si>
  <si>
    <t>Семена</t>
  </si>
  <si>
    <t>"СОГЛАСОВАНО"</t>
  </si>
  <si>
    <t>"УТВЕРЖДАЮ"</t>
  </si>
  <si>
    <t>"_____"________________ 2018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</si>
  <si>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</si>
  <si>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</si>
  <si>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</si>
  <si>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</si>
  <si>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</si>
  <si>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</si>
  <si>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</si>
  <si>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>Нормативная трудоемкость</t>
  </si>
  <si>
    <t>чел. -ч.</t>
  </si>
  <si>
    <t>Средства на оплату труда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</si>
  <si>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</si>
  <si>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</si>
  <si>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</si>
  <si>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</si>
  <si>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</si>
  <si>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</si>
  <si>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</si>
  <si>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</si>
  <si>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</si>
  <si>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</si>
  <si>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</si>
  <si>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</si>
  <si>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I квартал 2018 года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</si>
  <si>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</si>
  <si>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</si>
  <si>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</si>
  <si>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</si>
  <si>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</si>
  <si>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</si>
  <si>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</si>
  <si>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</si>
  <si>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r>
      <t>Гербицид для борьбы с сорняками Joy ГЛИФОР, флакон 50 мл</t>
    </r>
    <r>
      <rPr>
        <i/>
        <sz val="10"/>
        <rFont val="Arial"/>
        <family val="2"/>
        <charset val="204"/>
      </rPr>
      <t xml:space="preserve">
Базисная стоимость: 28,70 = [195,9 / 1,18 /  5,9] +  2% Заг.скл</t>
    </r>
  </si>
  <si>
    <r>
      <t>Монтаж сцены</t>
    </r>
    <r>
      <rPr>
        <i/>
        <sz val="10"/>
        <rFont val="Arial"/>
        <family val="2"/>
        <charset val="204"/>
      </rPr>
      <t xml:space="preserve">
Базисная стоимость: 75 269,18 = [524 024 / 1,18 /  5,9]</t>
    </r>
  </si>
  <si>
    <t xml:space="preserve">   </t>
  </si>
  <si>
    <t xml:space="preserve">Составил  </t>
  </si>
  <si>
    <t>[должность,подпись(инициалы,фамилия)]</t>
  </si>
  <si>
    <t xml:space="preserve">Проверил  </t>
  </si>
  <si>
    <t>г. Дорогобуж</t>
  </si>
  <si>
    <t>Основание: дефектная ведомость</t>
  </si>
  <si>
    <t>рублей</t>
  </si>
  <si>
    <t>Глава муниципального образования "Дорогобужский район" Смоленской области</t>
  </si>
  <si>
    <t>___________________ О.В. Гарбар.</t>
  </si>
  <si>
    <t>на обустройство территории, прилегающей к центральной детской площадке по ул. Мира в г. Дорогобуж</t>
  </si>
  <si>
    <t>М.О. Волкова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</si>
</sst>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22">
    <font>
      <sz val="10"/>
      <name val="Arial"/>
      <charset val="204"/>
    </font>
    <font>
      <b/>
      <sz val="10"/>
      <color indexed="12"/>
      <name val="Arial"/>
      <charset val="204"/>
    </font>
    <font>
      <sz val="10"/>
      <color indexed="18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sz val="10"/>
      <color indexed="16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13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0" xfId="0" applyFont="1" applyAlignment="1">
      <alignment wrapText="1"/>
    </xf>
    <xf numFmtId="164" fontId="0" fillId="0" borderId="0" xfId="0" applyNumberFormat="1"/>
    <xf numFmtId="0" fontId="13" fillId="0" borderId="2" xfId="0" applyFont="1" applyBorder="1"/>
    <xf numFmtId="0" fontId="13" fillId="0" borderId="0" xfId="0" applyFont="1" applyAlignment="1">
      <alignment vertical="center"/>
    </xf>
    <xf numFmtId="0" fontId="16" fillId="0" borderId="0" xfId="0" applyFont="1"/>
    <xf numFmtId="0" fontId="13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 wrapText="1"/>
    </xf>
    <xf numFmtId="164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0" fontId="18" fillId="0" borderId="2" xfId="0" applyFont="1" applyBorder="1" applyAlignment="1">
      <alignment horizontal="right" wrapText="1"/>
    </xf>
    <xf numFmtId="0" fontId="13" fillId="0" borderId="2" xfId="0" applyFont="1" applyBorder="1" applyAlignment="1">
      <alignment horizontal="right"/>
    </xf>
    <xf numFmtId="165" fontId="13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 wrapText="1"/>
    </xf>
    <xf numFmtId="164" fontId="13" fillId="0" borderId="2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0" fontId="12" fillId="0" borderId="2" xfId="0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0" fontId="13" fillId="0" borderId="2" xfId="0" quotePrefix="1" applyFont="1" applyBorder="1" applyAlignment="1">
      <alignment horizontal="right" wrapText="1"/>
    </xf>
    <xf numFmtId="0" fontId="13" fillId="0" borderId="0" xfId="0" quotePrefix="1" applyFont="1" applyAlignment="1">
      <alignment horizontal="right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165" fontId="11" fillId="0" borderId="0" xfId="0" applyNumberFormat="1" applyFont="1" applyAlignment="1">
      <alignment horizontal="left"/>
    </xf>
    <xf numFmtId="0" fontId="21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13" fillId="0" borderId="0" xfId="0" applyFont="1"/>
    <xf numFmtId="164" fontId="16" fillId="0" borderId="1" xfId="0" applyNumberFormat="1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0" fontId="16" fillId="0" borderId="0" xfId="0" applyFont="1" applyAlignment="1">
      <alignment horizontal="left" wrapText="1"/>
    </xf>
    <xf numFmtId="164" fontId="16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70"/>
  <sheetViews>
    <sheetView tabSelected="1" workbookViewId="0">
      <selection activeCell="B166" sqref="B166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36" width="0" hidden="1" customWidth="1"/>
  </cols>
  <sheetData>
    <row r="1" spans="1:12">
      <c r="A1" s="11" t="str">
        <f>Source!B1</f>
        <v>Smeta.RU  (495) 974-1589</v>
      </c>
    </row>
    <row r="2" spans="1:12" ht="14.25">
      <c r="A2" s="12"/>
      <c r="B2" s="12"/>
      <c r="C2" s="12"/>
      <c r="D2" s="12"/>
      <c r="E2" s="12"/>
      <c r="F2" s="12"/>
      <c r="G2" s="12"/>
      <c r="H2" s="12"/>
      <c r="I2" s="12"/>
      <c r="J2" s="12"/>
      <c r="K2" s="13"/>
      <c r="L2" s="13"/>
    </row>
    <row r="3" spans="1:12" ht="16.5">
      <c r="A3" s="14"/>
      <c r="B3" s="58" t="s">
        <v>370</v>
      </c>
      <c r="C3" s="58"/>
      <c r="D3" s="58"/>
      <c r="E3" s="58"/>
      <c r="F3" s="13"/>
      <c r="G3" s="13"/>
      <c r="H3" s="58" t="s">
        <v>371</v>
      </c>
      <c r="I3" s="58"/>
      <c r="J3" s="58"/>
      <c r="K3" s="58"/>
      <c r="L3" s="58"/>
    </row>
    <row r="4" spans="1:12" ht="14.25">
      <c r="A4" s="13"/>
      <c r="B4" s="59"/>
      <c r="C4" s="59"/>
      <c r="D4" s="59"/>
      <c r="E4" s="59"/>
      <c r="F4" s="13"/>
      <c r="G4" s="13"/>
      <c r="H4" s="59"/>
      <c r="I4" s="59"/>
      <c r="J4" s="59"/>
      <c r="K4" s="59"/>
      <c r="L4" s="59"/>
    </row>
    <row r="5" spans="1:12" ht="14.25">
      <c r="A5" s="15"/>
      <c r="B5" s="15"/>
      <c r="C5" s="16"/>
      <c r="D5" s="16"/>
      <c r="E5" s="16"/>
      <c r="F5" s="13"/>
      <c r="G5" s="13"/>
      <c r="H5" s="60" t="s">
        <v>413</v>
      </c>
      <c r="I5" s="60"/>
      <c r="J5" s="60"/>
      <c r="K5" s="60"/>
      <c r="L5" s="60"/>
    </row>
    <row r="6" spans="1:12" ht="14.25">
      <c r="A6" s="17"/>
      <c r="B6" s="59" t="str">
        <f>CONCATENATE("______________________ ", IF(Source!AL12&lt;&gt;"", Source!AL12, ""))</f>
        <v xml:space="preserve">______________________ </v>
      </c>
      <c r="C6" s="59"/>
      <c r="D6" s="59"/>
      <c r="E6" s="59"/>
      <c r="F6" s="13"/>
      <c r="G6" s="13"/>
      <c r="H6" s="60"/>
      <c r="I6" s="60"/>
      <c r="J6" s="60"/>
      <c r="K6" s="60"/>
      <c r="L6" s="60"/>
    </row>
    <row r="7" spans="1:12" ht="14.25">
      <c r="A7" s="18"/>
      <c r="B7" s="62" t="s">
        <v>372</v>
      </c>
      <c r="C7" s="62"/>
      <c r="D7" s="62"/>
      <c r="E7" s="62"/>
      <c r="F7" s="13"/>
      <c r="G7" s="13"/>
      <c r="H7" s="62" t="s">
        <v>414</v>
      </c>
      <c r="I7" s="62"/>
      <c r="J7" s="62"/>
      <c r="K7" s="62"/>
      <c r="L7" s="62"/>
    </row>
    <row r="8" spans="1:12" ht="14.25">
      <c r="H8" s="62" t="s">
        <v>372</v>
      </c>
      <c r="I8" s="62"/>
      <c r="J8" s="62"/>
      <c r="K8" s="62"/>
      <c r="L8" s="62"/>
    </row>
    <row r="10" spans="1:12" ht="15.75">
      <c r="A10" s="18"/>
      <c r="B10" s="63" t="s">
        <v>410</v>
      </c>
      <c r="C10" s="63"/>
      <c r="D10" s="63"/>
      <c r="E10" s="63"/>
      <c r="F10" s="63"/>
      <c r="G10" s="63"/>
      <c r="H10" s="63"/>
      <c r="I10" s="63"/>
      <c r="J10" s="63"/>
      <c r="K10" s="63"/>
      <c r="L10" s="18"/>
    </row>
    <row r="11" spans="1:12" ht="14.25">
      <c r="A11" s="19"/>
      <c r="B11" s="64" t="s">
        <v>373</v>
      </c>
      <c r="C11" s="64"/>
      <c r="D11" s="64"/>
      <c r="E11" s="64"/>
      <c r="F11" s="64"/>
      <c r="G11" s="64"/>
      <c r="H11" s="64"/>
      <c r="I11" s="64"/>
      <c r="J11" s="64"/>
      <c r="K11" s="64"/>
      <c r="L11" s="18"/>
    </row>
    <row r="12" spans="1:12" ht="14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4.25">
      <c r="A13" s="13"/>
      <c r="B13" s="13"/>
      <c r="C13" s="13"/>
      <c r="D13" s="13"/>
      <c r="E13" s="13"/>
      <c r="F13" s="65" t="s">
        <v>374</v>
      </c>
      <c r="G13" s="65"/>
      <c r="H13" s="66" t="str">
        <f>IF(Source!F12&lt;&gt;"Новый объект", Source!F12, "")</f>
        <v>Дорогобуж</v>
      </c>
      <c r="I13" s="66"/>
      <c r="J13" s="66"/>
      <c r="K13" s="66"/>
      <c r="L13" s="20"/>
    </row>
    <row r="14" spans="1:12" ht="14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15.75">
      <c r="A15" s="21"/>
      <c r="B15" s="63" t="str">
        <f>CONCATENATE( "ЛОКАЛЬНАЯ СМЕТА № ",IF(Source!F20&lt;&gt;"Новая локальная смета", Source!F20, ""))</f>
        <v xml:space="preserve">ЛОКАЛЬНАЯ СМЕТА № </v>
      </c>
      <c r="C15" s="63"/>
      <c r="D15" s="63"/>
      <c r="E15" s="63"/>
      <c r="F15" s="63"/>
      <c r="G15" s="63"/>
      <c r="H15" s="63"/>
      <c r="I15" s="63"/>
      <c r="J15" s="63"/>
      <c r="K15" s="63"/>
      <c r="L15" s="21"/>
    </row>
    <row r="16" spans="1:12" ht="15.7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1"/>
    </row>
    <row r="17" spans="1:12" ht="18" hidden="1">
      <c r="A17" s="21"/>
      <c r="B17" s="67" t="str">
        <f>IF(Source!G20&lt;&gt;"Новая локальная смета", Source!G20, "")</f>
        <v/>
      </c>
      <c r="C17" s="67"/>
      <c r="D17" s="67"/>
      <c r="E17" s="67"/>
      <c r="F17" s="67"/>
      <c r="G17" s="67"/>
      <c r="H17" s="67"/>
      <c r="I17" s="67"/>
      <c r="J17" s="67"/>
      <c r="K17" s="67"/>
      <c r="L17" s="21"/>
    </row>
    <row r="18" spans="1:12" ht="14.25" hidden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8">
      <c r="A19" s="13"/>
      <c r="B19" s="68" t="s">
        <v>415</v>
      </c>
      <c r="C19" s="68"/>
      <c r="D19" s="68"/>
      <c r="E19" s="68"/>
      <c r="F19" s="68"/>
      <c r="G19" s="68"/>
      <c r="H19" s="68"/>
      <c r="I19" s="68"/>
      <c r="J19" s="68"/>
      <c r="K19" s="68"/>
      <c r="L19" s="23"/>
    </row>
    <row r="20" spans="1:12" ht="14.25">
      <c r="A20" s="13"/>
      <c r="B20" s="69" t="s">
        <v>375</v>
      </c>
      <c r="C20" s="69"/>
      <c r="D20" s="69"/>
      <c r="E20" s="69"/>
      <c r="F20" s="69"/>
      <c r="G20" s="69"/>
      <c r="H20" s="69"/>
      <c r="I20" s="69"/>
      <c r="J20" s="69"/>
      <c r="K20" s="69"/>
      <c r="L20" s="18"/>
    </row>
    <row r="21" spans="1:12" ht="14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4.25">
      <c r="A22" s="66" t="s">
        <v>411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14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4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4.25">
      <c r="A25" s="13"/>
      <c r="B25" s="13"/>
      <c r="C25" s="13"/>
      <c r="D25" s="13"/>
      <c r="E25" s="24"/>
      <c r="F25" s="24"/>
      <c r="G25" s="61" t="s">
        <v>376</v>
      </c>
      <c r="H25" s="61"/>
      <c r="I25" s="61" t="s">
        <v>377</v>
      </c>
      <c r="J25" s="61"/>
      <c r="K25" s="13"/>
      <c r="L25" s="13"/>
    </row>
    <row r="26" spans="1:12" ht="15">
      <c r="A26" s="13"/>
      <c r="B26" s="13"/>
      <c r="C26" s="70" t="s">
        <v>378</v>
      </c>
      <c r="D26" s="70"/>
      <c r="E26" s="70"/>
      <c r="F26" s="70"/>
      <c r="G26" s="71">
        <f>SUM(O33:O154)/1000</f>
        <v>173.23545000000001</v>
      </c>
      <c r="H26" s="71"/>
      <c r="I26" s="71">
        <f>J161</f>
        <v>1353183.9980000001</v>
      </c>
      <c r="J26" s="71"/>
      <c r="K26" s="72" t="s">
        <v>412</v>
      </c>
      <c r="L26" s="72"/>
    </row>
    <row r="27" spans="1:12" ht="15">
      <c r="A27" s="13"/>
      <c r="B27" s="13"/>
      <c r="C27" s="70" t="s">
        <v>380</v>
      </c>
      <c r="D27" s="70"/>
      <c r="E27" s="70"/>
      <c r="F27" s="70"/>
      <c r="G27" s="71">
        <f>I27</f>
        <v>702.2869523899999</v>
      </c>
      <c r="H27" s="71"/>
      <c r="I27" s="71">
        <f>(Source!P91+Source!P92)</f>
        <v>702.2869523899999</v>
      </c>
      <c r="J27" s="71"/>
      <c r="K27" s="72" t="s">
        <v>381</v>
      </c>
      <c r="L27" s="72"/>
    </row>
    <row r="28" spans="1:12" ht="15">
      <c r="A28" s="13"/>
      <c r="B28" s="13"/>
      <c r="C28" s="70" t="s">
        <v>382</v>
      </c>
      <c r="D28" s="70"/>
      <c r="E28" s="70"/>
      <c r="F28" s="70"/>
      <c r="G28" s="71">
        <f>SUM(R33:R154)/1000</f>
        <v>4.9125299999999985</v>
      </c>
      <c r="H28" s="71"/>
      <c r="I28" s="71">
        <f>((Source!P84 + Source!P83)/1000)</f>
        <v>80.761669999999995</v>
      </c>
      <c r="J28" s="71"/>
      <c r="K28" s="72" t="s">
        <v>379</v>
      </c>
      <c r="L28" s="72"/>
    </row>
    <row r="29" spans="1:12" ht="14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4.25">
      <c r="A30" s="74" t="s">
        <v>395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</row>
    <row r="31" spans="1:12" ht="57">
      <c r="A31" s="25" t="s">
        <v>383</v>
      </c>
      <c r="B31" s="25" t="s">
        <v>384</v>
      </c>
      <c r="C31" s="25" t="s">
        <v>385</v>
      </c>
      <c r="D31" s="25" t="s">
        <v>386</v>
      </c>
      <c r="E31" s="25" t="s">
        <v>387</v>
      </c>
      <c r="F31" s="25" t="s">
        <v>388</v>
      </c>
      <c r="G31" s="25" t="s">
        <v>389</v>
      </c>
      <c r="H31" s="25" t="s">
        <v>390</v>
      </c>
      <c r="I31" s="25" t="s">
        <v>391</v>
      </c>
      <c r="J31" s="25" t="s">
        <v>392</v>
      </c>
      <c r="K31" s="25" t="s">
        <v>393</v>
      </c>
      <c r="L31" s="25" t="s">
        <v>394</v>
      </c>
    </row>
    <row r="32" spans="1:12" ht="14.25">
      <c r="A32" s="26">
        <v>1</v>
      </c>
      <c r="B32" s="26">
        <v>2</v>
      </c>
      <c r="C32" s="26">
        <v>3</v>
      </c>
      <c r="D32" s="26">
        <v>4</v>
      </c>
      <c r="E32" s="26">
        <v>5</v>
      </c>
      <c r="F32" s="26">
        <v>6</v>
      </c>
      <c r="G32" s="26">
        <v>7</v>
      </c>
      <c r="H32" s="26">
        <v>8</v>
      </c>
      <c r="I32" s="26">
        <v>9</v>
      </c>
      <c r="J32" s="26">
        <v>10</v>
      </c>
      <c r="K32" s="26">
        <v>11</v>
      </c>
      <c r="L32" s="27">
        <v>12</v>
      </c>
    </row>
    <row r="33" spans="1:26" ht="28.5">
      <c r="A33" s="52" t="str">
        <f>Source!E25</f>
        <v>1</v>
      </c>
      <c r="B33" s="53" t="str">
        <f>Source!F25</f>
        <v>68-14-1</v>
      </c>
      <c r="C33" s="53" t="str">
        <f>Source!G25</f>
        <v>Разборка бортовых камней: на бетонном основании</v>
      </c>
      <c r="D33" s="34" t="str">
        <f>Source!H25</f>
        <v>100 м</v>
      </c>
      <c r="E33" s="12">
        <f>Source!I25</f>
        <v>1.03</v>
      </c>
      <c r="F33" s="35">
        <f>Source!AL25+Source!AM25+Source!AO25</f>
        <v>1367.3200000000002</v>
      </c>
      <c r="G33" s="36"/>
      <c r="H33" s="37"/>
      <c r="I33" s="36" t="str">
        <f>Source!BO25</f>
        <v/>
      </c>
      <c r="J33" s="36"/>
      <c r="K33" s="37"/>
      <c r="L33" s="38"/>
      <c r="S33">
        <f>ROUND((Source!FX25/100)*((ROUND(Source!AF25*Source!I25, 2)+ROUND(Source!AE25*Source!I25, 2))), 2)</f>
        <v>613.53</v>
      </c>
      <c r="T33">
        <f>Source!X25</f>
        <v>8534.52</v>
      </c>
      <c r="U33">
        <f>ROUND((Source!FY25/100)*((ROUND(Source!AF25*Source!I25, 2)+ROUND(Source!AE25*Source!I25, 2))), 2)</f>
        <v>353.96</v>
      </c>
      <c r="V33">
        <f>Source!Y25</f>
        <v>4655.1899999999996</v>
      </c>
    </row>
    <row r="34" spans="1:26">
      <c r="C34" s="28" t="str">
        <f>"Объем: "&amp;Source!I25&amp;"=103/"&amp;"100"</f>
        <v>Объем: 1,03=103/100</v>
      </c>
    </row>
    <row r="35" spans="1:26" ht="14.25">
      <c r="A35" s="52"/>
      <c r="B35" s="53"/>
      <c r="C35" s="53" t="s">
        <v>396</v>
      </c>
      <c r="D35" s="34"/>
      <c r="E35" s="12"/>
      <c r="F35" s="35">
        <f>Source!AO25</f>
        <v>479.87</v>
      </c>
      <c r="G35" s="36" t="str">
        <f>Source!DG25</f>
        <v/>
      </c>
      <c r="H35" s="37">
        <f>ROUND(Source!AF25*Source!I25, 2)</f>
        <v>494.27</v>
      </c>
      <c r="I35" s="36"/>
      <c r="J35" s="36">
        <f>IF(Source!BA25&lt;&gt; 0, Source!BA25, 1)</f>
        <v>16.440000000000001</v>
      </c>
      <c r="K35" s="37">
        <f>Source!S25</f>
        <v>8125.73</v>
      </c>
      <c r="L35" s="38"/>
      <c r="R35">
        <f>H35</f>
        <v>494.27</v>
      </c>
    </row>
    <row r="36" spans="1:26" ht="14.25">
      <c r="A36" s="52"/>
      <c r="B36" s="53"/>
      <c r="C36" s="53" t="s">
        <v>160</v>
      </c>
      <c r="D36" s="34"/>
      <c r="E36" s="12"/>
      <c r="F36" s="35">
        <f>Source!AM25</f>
        <v>887.45</v>
      </c>
      <c r="G36" s="36" t="str">
        <f>Source!DE25</f>
        <v/>
      </c>
      <c r="H36" s="37">
        <f>ROUND(Source!AD25*Source!I25, 2)</f>
        <v>914.07</v>
      </c>
      <c r="I36" s="36"/>
      <c r="J36" s="36">
        <f>IF(Source!BB25&lt;&gt; 0, Source!BB25, 1)</f>
        <v>6.21</v>
      </c>
      <c r="K36" s="37">
        <f>Source!Q25</f>
        <v>5676.4</v>
      </c>
      <c r="L36" s="38"/>
    </row>
    <row r="37" spans="1:26" ht="14.25">
      <c r="A37" s="52"/>
      <c r="B37" s="53"/>
      <c r="C37" s="53" t="s">
        <v>397</v>
      </c>
      <c r="D37" s="34"/>
      <c r="E37" s="12"/>
      <c r="F37" s="35">
        <f>Source!AN25</f>
        <v>92.87</v>
      </c>
      <c r="G37" s="36" t="str">
        <f>Source!DF25</f>
        <v/>
      </c>
      <c r="H37" s="39">
        <f>ROUND(Source!AE25*Source!I25, 2)</f>
        <v>95.66</v>
      </c>
      <c r="I37" s="36"/>
      <c r="J37" s="36">
        <f>IF(Source!BS25&lt;&gt; 0, Source!BS25, 1)</f>
        <v>16.440000000000001</v>
      </c>
      <c r="K37" s="39">
        <f>Source!R25</f>
        <v>1572.59</v>
      </c>
      <c r="L37" s="38"/>
      <c r="R37">
        <f>H37</f>
        <v>95.66</v>
      </c>
    </row>
    <row r="38" spans="1:26" ht="14.25">
      <c r="A38" s="52"/>
      <c r="B38" s="53"/>
      <c r="C38" s="53" t="s">
        <v>398</v>
      </c>
      <c r="D38" s="34" t="s">
        <v>399</v>
      </c>
      <c r="E38" s="12">
        <f>Source!BZ25</f>
        <v>104</v>
      </c>
      <c r="F38" s="56"/>
      <c r="G38" s="36"/>
      <c r="H38" s="37">
        <f>SUM(S33:S40)</f>
        <v>613.53</v>
      </c>
      <c r="I38" s="40" t="str">
        <f>CONCATENATE(Source!FX25, Source!FV25, "=")</f>
        <v>104*0,85=</v>
      </c>
      <c r="J38" s="33">
        <f>Source!AT25</f>
        <v>88</v>
      </c>
      <c r="K38" s="37">
        <f>SUM(T33:T40)</f>
        <v>8534.52</v>
      </c>
      <c r="L38" s="38"/>
    </row>
    <row r="39" spans="1:26" ht="14.25">
      <c r="A39" s="52"/>
      <c r="B39" s="53"/>
      <c r="C39" s="53" t="s">
        <v>400</v>
      </c>
      <c r="D39" s="34" t="s">
        <v>399</v>
      </c>
      <c r="E39" s="12">
        <f>Source!CA25</f>
        <v>60</v>
      </c>
      <c r="F39" s="56"/>
      <c r="G39" s="36"/>
      <c r="H39" s="37">
        <f>SUM(U33:U40)</f>
        <v>353.96</v>
      </c>
      <c r="I39" s="40" t="str">
        <f>CONCATENATE(Source!FY25, Source!FW25, "=")</f>
        <v>60*0,8=</v>
      </c>
      <c r="J39" s="33">
        <f>Source!AU25</f>
        <v>48</v>
      </c>
      <c r="K39" s="37">
        <f>SUM(V33:V40)</f>
        <v>4655.1899999999996</v>
      </c>
      <c r="L39" s="38"/>
    </row>
    <row r="40" spans="1:26" ht="14.25">
      <c r="A40" s="54"/>
      <c r="B40" s="55"/>
      <c r="C40" s="55" t="s">
        <v>401</v>
      </c>
      <c r="D40" s="41" t="s">
        <v>402</v>
      </c>
      <c r="E40" s="42">
        <f>Source!AQ25</f>
        <v>68.260000000000005</v>
      </c>
      <c r="F40" s="43"/>
      <c r="G40" s="44" t="str">
        <f>Source!DI25</f>
        <v/>
      </c>
      <c r="H40" s="45"/>
      <c r="I40" s="44"/>
      <c r="J40" s="44"/>
      <c r="K40" s="45"/>
      <c r="L40" s="46">
        <f>Source!U25</f>
        <v>70.3078</v>
      </c>
    </row>
    <row r="41" spans="1:26" ht="15">
      <c r="G41" s="73">
        <f>H35+H36+H38+H39</f>
        <v>2375.83</v>
      </c>
      <c r="H41" s="73"/>
      <c r="J41" s="73">
        <f>K35+K36+K38+K39</f>
        <v>26991.84</v>
      </c>
      <c r="K41" s="73"/>
      <c r="L41" s="47">
        <f>Source!U25</f>
        <v>70.3078</v>
      </c>
      <c r="O41" s="29">
        <f>G41</f>
        <v>2375.83</v>
      </c>
      <c r="P41" s="29">
        <f>J41</f>
        <v>26991.84</v>
      </c>
      <c r="Q41" s="29">
        <f>L41</f>
        <v>70.3078</v>
      </c>
      <c r="W41">
        <f>IF(Source!BI25&lt;=1,H35+H36+H38+H39, 0)</f>
        <v>2375.83</v>
      </c>
      <c r="X41">
        <f>IF(Source!BI25=2,H35+H36+H38+H39, 0)</f>
        <v>0</v>
      </c>
      <c r="Y41">
        <f>IF(Source!BI25=3,H35+H36+H38+H39, 0)</f>
        <v>0</v>
      </c>
      <c r="Z41">
        <f>IF(Source!BI25=4,H35+H36+H38+H39, 0)</f>
        <v>0</v>
      </c>
    </row>
    <row r="42" spans="1:26" ht="42.75">
      <c r="A42" s="52" t="str">
        <f>Source!E27</f>
        <v>2</v>
      </c>
      <c r="B42" s="53" t="str">
        <f>Source!F27</f>
        <v>68-20-1</v>
      </c>
      <c r="C42" s="53" t="str">
        <f>Source!G27</f>
        <v>Разборка брусчатки с их отноской и укладкой в штабель</v>
      </c>
      <c r="D42" s="34" t="str">
        <f>Source!H27</f>
        <v>100 м2 основания</v>
      </c>
      <c r="E42" s="12">
        <f>Source!I27</f>
        <v>4.2024999999999997</v>
      </c>
      <c r="F42" s="35">
        <f>Source!AL27+Source!AM27+Source!AO27</f>
        <v>115.82</v>
      </c>
      <c r="G42" s="36"/>
      <c r="H42" s="37"/>
      <c r="I42" s="36" t="str">
        <f>Source!BO27</f>
        <v/>
      </c>
      <c r="J42" s="36"/>
      <c r="K42" s="37"/>
      <c r="L42" s="38"/>
      <c r="S42">
        <f>ROUND((Source!FX27/100)*((ROUND(Source!AF27*Source!I27, 2)+ROUND(Source!AE27*Source!I27, 2))), 2)</f>
        <v>506.2</v>
      </c>
      <c r="T42">
        <f>Source!X27</f>
        <v>7041.67</v>
      </c>
      <c r="U42">
        <f>ROUND((Source!FY27/100)*((ROUND(Source!AF27*Source!I27, 2)+ROUND(Source!AE27*Source!I27, 2))), 2)</f>
        <v>292.04000000000002</v>
      </c>
      <c r="V42">
        <f>Source!Y27</f>
        <v>3840.91</v>
      </c>
    </row>
    <row r="43" spans="1:26">
      <c r="C43" s="28" t="str">
        <f>"Объем: "&amp;Source!I27&amp;"=420,25/"&amp;"100"</f>
        <v>Объем: 4,2025=420,25/100</v>
      </c>
    </row>
    <row r="44" spans="1:26" ht="14.25">
      <c r="A44" s="52"/>
      <c r="B44" s="53"/>
      <c r="C44" s="53" t="s">
        <v>396</v>
      </c>
      <c r="D44" s="34"/>
      <c r="E44" s="12"/>
      <c r="F44" s="35">
        <f>Source!AO27</f>
        <v>115.82</v>
      </c>
      <c r="G44" s="36" t="str">
        <f>Source!DG27</f>
        <v/>
      </c>
      <c r="H44" s="37">
        <f>ROUND(Source!AF27*Source!I27, 2)</f>
        <v>486.73</v>
      </c>
      <c r="I44" s="36"/>
      <c r="J44" s="36">
        <f>IF(Source!BA27&lt;&gt; 0, Source!BA27, 1)</f>
        <v>16.440000000000001</v>
      </c>
      <c r="K44" s="37">
        <f>Source!S27</f>
        <v>8001.9</v>
      </c>
      <c r="L44" s="38"/>
      <c r="R44">
        <f>H44</f>
        <v>486.73</v>
      </c>
    </row>
    <row r="45" spans="1:26" ht="14.25">
      <c r="A45" s="52"/>
      <c r="B45" s="53"/>
      <c r="C45" s="53" t="s">
        <v>398</v>
      </c>
      <c r="D45" s="34" t="s">
        <v>399</v>
      </c>
      <c r="E45" s="12">
        <f>Source!BZ27</f>
        <v>104</v>
      </c>
      <c r="F45" s="56"/>
      <c r="G45" s="36"/>
      <c r="H45" s="37">
        <f>SUM(S42:S47)</f>
        <v>506.2</v>
      </c>
      <c r="I45" s="40" t="str">
        <f>CONCATENATE(Source!FX27, Source!FV27, "=")</f>
        <v>104*0,85=</v>
      </c>
      <c r="J45" s="33">
        <f>Source!AT27</f>
        <v>88</v>
      </c>
      <c r="K45" s="37">
        <f>SUM(T42:T47)</f>
        <v>7041.67</v>
      </c>
      <c r="L45" s="38"/>
    </row>
    <row r="46" spans="1:26" ht="14.25">
      <c r="A46" s="52"/>
      <c r="B46" s="53"/>
      <c r="C46" s="53" t="s">
        <v>400</v>
      </c>
      <c r="D46" s="34" t="s">
        <v>399</v>
      </c>
      <c r="E46" s="12">
        <f>Source!CA27</f>
        <v>60</v>
      </c>
      <c r="F46" s="56"/>
      <c r="G46" s="36"/>
      <c r="H46" s="37">
        <f>SUM(U42:U47)</f>
        <v>292.04000000000002</v>
      </c>
      <c r="I46" s="40" t="str">
        <f>CONCATENATE(Source!FY27, Source!FW27, "=")</f>
        <v>60*0,8=</v>
      </c>
      <c r="J46" s="33">
        <f>Source!AU27</f>
        <v>48</v>
      </c>
      <c r="K46" s="37">
        <f>SUM(V42:V47)</f>
        <v>3840.91</v>
      </c>
      <c r="L46" s="38"/>
    </row>
    <row r="47" spans="1:26" ht="14.25">
      <c r="A47" s="54"/>
      <c r="B47" s="55"/>
      <c r="C47" s="55" t="s">
        <v>401</v>
      </c>
      <c r="D47" s="41" t="s">
        <v>402</v>
      </c>
      <c r="E47" s="42">
        <f>Source!AQ27</f>
        <v>18.68</v>
      </c>
      <c r="F47" s="43"/>
      <c r="G47" s="44" t="str">
        <f>Source!DI27</f>
        <v/>
      </c>
      <c r="H47" s="45"/>
      <c r="I47" s="44"/>
      <c r="J47" s="44"/>
      <c r="K47" s="45"/>
      <c r="L47" s="46">
        <f>Source!U27</f>
        <v>78.50269999999999</v>
      </c>
    </row>
    <row r="48" spans="1:26" ht="15">
      <c r="G48" s="73">
        <f>H44+H45+H46</f>
        <v>1284.97</v>
      </c>
      <c r="H48" s="73"/>
      <c r="J48" s="73">
        <f>K44+K45+K46</f>
        <v>18884.48</v>
      </c>
      <c r="K48" s="73"/>
      <c r="L48" s="47">
        <f>Source!U27</f>
        <v>78.50269999999999</v>
      </c>
      <c r="O48" s="29">
        <f>G48</f>
        <v>1284.97</v>
      </c>
      <c r="P48" s="29">
        <f>J48</f>
        <v>18884.48</v>
      </c>
      <c r="Q48" s="29">
        <f>L48</f>
        <v>78.50269999999999</v>
      </c>
      <c r="W48">
        <f>IF(Source!BI27&lt;=1,H44+H45+H46, 0)</f>
        <v>1284.97</v>
      </c>
      <c r="X48">
        <f>IF(Source!BI27=2,H44+H45+H46, 0)</f>
        <v>0</v>
      </c>
      <c r="Y48">
        <f>IF(Source!BI27=3,H44+H45+H46, 0)</f>
        <v>0</v>
      </c>
      <c r="Z48">
        <f>IF(Source!BI27=4,H44+H45+H46, 0)</f>
        <v>0</v>
      </c>
    </row>
    <row r="49" spans="1:26" ht="57">
      <c r="A49" s="52" t="str">
        <f>Source!E29</f>
        <v>3</v>
      </c>
      <c r="B49" s="53" t="str">
        <f>Source!F29</f>
        <v>01-01-014-5</v>
      </c>
      <c r="C49" s="53" t="str">
        <f>Source!G29</f>
        <v>Разработка грунта с погрузкой на автомобили-самосвалы экскаваторами с ковшом вместимостью: 0,25 м3, группа грунтов 2</v>
      </c>
      <c r="D49" s="34" t="str">
        <f>Source!H29</f>
        <v>1000 м3 грунта</v>
      </c>
      <c r="E49" s="12">
        <f>Source!I29</f>
        <v>5.4980000000000001E-2</v>
      </c>
      <c r="F49" s="35">
        <f>Source!AL29+Source!AM29+Source!AO29</f>
        <v>6343.79</v>
      </c>
      <c r="G49" s="36"/>
      <c r="H49" s="37"/>
      <c r="I49" s="36" t="str">
        <f>Source!BO29</f>
        <v/>
      </c>
      <c r="J49" s="36"/>
      <c r="K49" s="37"/>
      <c r="L49" s="38"/>
      <c r="S49">
        <f>ROUND((Source!FX29/100)*((ROUND(Source!AF29*Source!I29, 2)+ROUND(Source!AE29*Source!I29, 2))), 2)</f>
        <v>78.88</v>
      </c>
      <c r="T49">
        <f>Source!X29</f>
        <v>1105.7</v>
      </c>
      <c r="U49">
        <f>ROUND((Source!FY29/100)*((ROUND(Source!AF29*Source!I29, 2)+ROUND(Source!AE29*Source!I29, 2))), 2)</f>
        <v>35.29</v>
      </c>
      <c r="V49">
        <f>Source!Y29</f>
        <v>464.12</v>
      </c>
    </row>
    <row r="50" spans="1:26">
      <c r="C50" s="28" t="str">
        <f>"Объем: "&amp;Source!I29&amp;"=54,98/"&amp;"1000"</f>
        <v>Объем: 0,05498=54,98/1000</v>
      </c>
    </row>
    <row r="51" spans="1:26" ht="14.25">
      <c r="A51" s="52"/>
      <c r="B51" s="53"/>
      <c r="C51" s="53" t="s">
        <v>396</v>
      </c>
      <c r="D51" s="34"/>
      <c r="E51" s="12"/>
      <c r="F51" s="35">
        <f>Source!AO29</f>
        <v>198.88</v>
      </c>
      <c r="G51" s="36" t="str">
        <f>Source!DG29</f>
        <v>*1,15</v>
      </c>
      <c r="H51" s="37">
        <f>ROUND(Source!AF29*Source!I29, 2)</f>
        <v>12.57</v>
      </c>
      <c r="I51" s="36"/>
      <c r="J51" s="36">
        <f>IF(Source!BA29&lt;&gt; 0, Source!BA29, 1)</f>
        <v>16.440000000000001</v>
      </c>
      <c r="K51" s="37">
        <f>Source!S29</f>
        <v>206.73</v>
      </c>
      <c r="L51" s="38"/>
      <c r="R51">
        <f>H51</f>
        <v>12.57</v>
      </c>
    </row>
    <row r="52" spans="1:26" ht="14.25">
      <c r="A52" s="52"/>
      <c r="B52" s="53"/>
      <c r="C52" s="53" t="s">
        <v>160</v>
      </c>
      <c r="D52" s="34"/>
      <c r="E52" s="12"/>
      <c r="F52" s="35">
        <f>Source!AM29</f>
        <v>6140.07</v>
      </c>
      <c r="G52" s="36" t="str">
        <f>Source!DE29</f>
        <v>*1,25</v>
      </c>
      <c r="H52" s="37">
        <f>ROUND(Source!AD29*Source!I29, 2)</f>
        <v>421.98</v>
      </c>
      <c r="I52" s="36"/>
      <c r="J52" s="36">
        <f>IF(Source!BB29&lt;&gt; 0, Source!BB29, 1)</f>
        <v>6.21</v>
      </c>
      <c r="K52" s="37">
        <f>Source!Q29</f>
        <v>2620.4699999999998</v>
      </c>
      <c r="L52" s="38"/>
    </row>
    <row r="53" spans="1:26" ht="14.25">
      <c r="A53" s="52"/>
      <c r="B53" s="53"/>
      <c r="C53" s="53" t="s">
        <v>397</v>
      </c>
      <c r="D53" s="34"/>
      <c r="E53" s="12"/>
      <c r="F53" s="35">
        <f>Source!AN29</f>
        <v>1025.22</v>
      </c>
      <c r="G53" s="36" t="str">
        <f>Source!DF29</f>
        <v>*1,25</v>
      </c>
      <c r="H53" s="39">
        <f>ROUND(Source!AE29*Source!I29, 2)</f>
        <v>70.459999999999994</v>
      </c>
      <c r="I53" s="36"/>
      <c r="J53" s="36">
        <f>IF(Source!BS29&lt;&gt; 0, Source!BS29, 1)</f>
        <v>16.440000000000001</v>
      </c>
      <c r="K53" s="39">
        <f>Source!R29</f>
        <v>1158.33</v>
      </c>
      <c r="L53" s="38"/>
      <c r="R53">
        <f>H53</f>
        <v>70.459999999999994</v>
      </c>
    </row>
    <row r="54" spans="1:26" ht="14.25">
      <c r="A54" s="52"/>
      <c r="B54" s="53"/>
      <c r="C54" s="53" t="s">
        <v>403</v>
      </c>
      <c r="D54" s="34"/>
      <c r="E54" s="12"/>
      <c r="F54" s="35">
        <f>Source!AL29</f>
        <v>4.84</v>
      </c>
      <c r="G54" s="36" t="str">
        <f>Source!DD29</f>
        <v/>
      </c>
      <c r="H54" s="37">
        <f>ROUND(Source!AC29*Source!I29, 2)</f>
        <v>0.27</v>
      </c>
      <c r="I54" s="36"/>
      <c r="J54" s="36">
        <f>IF(Source!BC29&lt;&gt; 0, Source!BC29, 1)</f>
        <v>5.9</v>
      </c>
      <c r="K54" s="37">
        <f>Source!P29</f>
        <v>1.57</v>
      </c>
      <c r="L54" s="38"/>
    </row>
    <row r="55" spans="1:26" ht="14.25">
      <c r="A55" s="52"/>
      <c r="B55" s="53"/>
      <c r="C55" s="53" t="s">
        <v>398</v>
      </c>
      <c r="D55" s="34" t="s">
        <v>399</v>
      </c>
      <c r="E55" s="12">
        <f>Source!BZ29</f>
        <v>95</v>
      </c>
      <c r="F55" s="56"/>
      <c r="G55" s="36"/>
      <c r="H55" s="37">
        <f>SUM(S49:S57)</f>
        <v>78.88</v>
      </c>
      <c r="I55" s="40" t="str">
        <f>CONCATENATE(Source!FX29, Source!FV29, "=")</f>
        <v>95*0,85=</v>
      </c>
      <c r="J55" s="33">
        <f>Source!AT29</f>
        <v>81</v>
      </c>
      <c r="K55" s="37">
        <f>SUM(T49:T57)</f>
        <v>1105.7</v>
      </c>
      <c r="L55" s="38"/>
    </row>
    <row r="56" spans="1:26" ht="14.25">
      <c r="A56" s="52"/>
      <c r="B56" s="53"/>
      <c r="C56" s="53" t="s">
        <v>400</v>
      </c>
      <c r="D56" s="34" t="s">
        <v>399</v>
      </c>
      <c r="E56" s="12">
        <f>Source!CA29</f>
        <v>50</v>
      </c>
      <c r="F56" s="59" t="str">
        <f>CONCATENATE(" )", Source!DM29, Source!FU29, "=", Source!FY29)</f>
        <v xml:space="preserve"> )*0,85=42,5</v>
      </c>
      <c r="G56" s="65"/>
      <c r="H56" s="37">
        <f>SUM(U49:U57)</f>
        <v>35.29</v>
      </c>
      <c r="I56" s="40" t="str">
        <f>CONCATENATE(Source!FY29, Source!FW29, "=")</f>
        <v>42,5*0,8=</v>
      </c>
      <c r="J56" s="33">
        <f>Source!AU29</f>
        <v>34</v>
      </c>
      <c r="K56" s="37">
        <f>SUM(V49:V57)</f>
        <v>464.12</v>
      </c>
      <c r="L56" s="38"/>
    </row>
    <row r="57" spans="1:26" ht="14.25">
      <c r="A57" s="54"/>
      <c r="B57" s="55"/>
      <c r="C57" s="55" t="s">
        <v>401</v>
      </c>
      <c r="D57" s="41" t="s">
        <v>402</v>
      </c>
      <c r="E57" s="42">
        <f>Source!AQ29</f>
        <v>31.32</v>
      </c>
      <c r="F57" s="43"/>
      <c r="G57" s="44" t="str">
        <f>Source!DI29</f>
        <v>*1,15</v>
      </c>
      <c r="H57" s="45"/>
      <c r="I57" s="44"/>
      <c r="J57" s="44"/>
      <c r="K57" s="45"/>
      <c r="L57" s="46">
        <f>Source!U29</f>
        <v>1.9802696400000002</v>
      </c>
    </row>
    <row r="58" spans="1:26" ht="15">
      <c r="G58" s="73">
        <f>H51+H52+H54+H55+H56</f>
        <v>548.99</v>
      </c>
      <c r="H58" s="73"/>
      <c r="J58" s="73">
        <f>K51+K52+K54+K55+K56</f>
        <v>4398.59</v>
      </c>
      <c r="K58" s="73"/>
      <c r="L58" s="47">
        <f>Source!U29</f>
        <v>1.9802696400000002</v>
      </c>
      <c r="O58" s="29">
        <f>G58</f>
        <v>548.99</v>
      </c>
      <c r="P58" s="29">
        <f>J58</f>
        <v>4398.59</v>
      </c>
      <c r="Q58" s="29">
        <f>L58</f>
        <v>1.9802696400000002</v>
      </c>
      <c r="W58">
        <f>IF(Source!BI29&lt;=1,H51+H52+H54+H55+H56, 0)</f>
        <v>548.99</v>
      </c>
      <c r="X58">
        <f>IF(Source!BI29=2,H51+H52+H54+H55+H56, 0)</f>
        <v>0</v>
      </c>
      <c r="Y58">
        <f>IF(Source!BI29=3,H51+H52+H54+H55+H56, 0)</f>
        <v>0</v>
      </c>
      <c r="Z58">
        <f>IF(Source!BI29=4,H51+H52+H54+H55+H56, 0)</f>
        <v>0</v>
      </c>
    </row>
    <row r="59" spans="1:26" ht="57">
      <c r="A59" s="52" t="str">
        <f>Source!E31</f>
        <v>4</v>
      </c>
      <c r="B59" s="53" t="str">
        <f>Source!F31</f>
        <v>пг03-21-01-005</v>
      </c>
      <c r="C59" s="53" t="str">
        <f>Source!G31</f>
        <v>Перевозка грузов автомобилями-самосвалами грузоподъемностью 10 т, работающих вне карьера, на расстояние: до 5 км I класс груза</v>
      </c>
      <c r="D59" s="34" t="str">
        <f>Source!H31</f>
        <v>1 Т ГРУЗА</v>
      </c>
      <c r="E59" s="12">
        <f>Source!I31</f>
        <v>87.417000000000002</v>
      </c>
      <c r="F59" s="35">
        <f>Source!AL31+Source!AM31+Source!AO31</f>
        <v>6.65</v>
      </c>
      <c r="G59" s="36"/>
      <c r="H59" s="37"/>
      <c r="I59" s="36" t="str">
        <f>Source!BO31</f>
        <v/>
      </c>
      <c r="J59" s="36"/>
      <c r="K59" s="37"/>
      <c r="L59" s="38"/>
      <c r="S59">
        <f>ROUND((Source!FX31/100)*((ROUND(Source!AF31*Source!I31, 2)+ROUND(Source!AE31*Source!I31, 2))), 2)</f>
        <v>0</v>
      </c>
      <c r="T59">
        <f>Source!X31</f>
        <v>0</v>
      </c>
      <c r="U59">
        <f>ROUND((Source!FY31/100)*((ROUND(Source!AF31*Source!I31, 2)+ROUND(Source!AE31*Source!I31, 2))), 2)</f>
        <v>0</v>
      </c>
      <c r="V59">
        <f>Source!Y31</f>
        <v>0</v>
      </c>
    </row>
    <row r="60" spans="1:26" ht="14.25">
      <c r="A60" s="54"/>
      <c r="B60" s="55"/>
      <c r="C60" s="55" t="s">
        <v>160</v>
      </c>
      <c r="D60" s="41"/>
      <c r="E60" s="42"/>
      <c r="F60" s="43">
        <f>Source!AM31</f>
        <v>6.65</v>
      </c>
      <c r="G60" s="44" t="str">
        <f>Source!DE31</f>
        <v/>
      </c>
      <c r="H60" s="45">
        <f>ROUND(Source!AD31*Source!I31, 2)</f>
        <v>581.32000000000005</v>
      </c>
      <c r="I60" s="44"/>
      <c r="J60" s="44">
        <f>IF(Source!BB31&lt;&gt; 0, Source!BB31, 1)</f>
        <v>6.21</v>
      </c>
      <c r="K60" s="45">
        <f>Source!Q31</f>
        <v>3610.02</v>
      </c>
      <c r="L60" s="48"/>
    </row>
    <row r="61" spans="1:26" ht="15">
      <c r="G61" s="73">
        <f>H60</f>
        <v>581.32000000000005</v>
      </c>
      <c r="H61" s="73"/>
      <c r="J61" s="73">
        <f>K60</f>
        <v>3610.02</v>
      </c>
      <c r="K61" s="73"/>
      <c r="L61" s="47">
        <f>Source!U31</f>
        <v>0</v>
      </c>
      <c r="O61" s="29">
        <f>G61</f>
        <v>581.32000000000005</v>
      </c>
      <c r="P61" s="29">
        <f>J61</f>
        <v>3610.02</v>
      </c>
      <c r="Q61" s="29">
        <f>L61</f>
        <v>0</v>
      </c>
      <c r="W61">
        <f>IF(Source!BI31&lt;=1,H60, 0)</f>
        <v>581.32000000000005</v>
      </c>
      <c r="X61">
        <f>IF(Source!BI31=2,H60, 0)</f>
        <v>0</v>
      </c>
      <c r="Y61">
        <f>IF(Source!BI31=3,H60, 0)</f>
        <v>0</v>
      </c>
      <c r="Z61">
        <f>IF(Source!BI31=4,H60, 0)</f>
        <v>0</v>
      </c>
    </row>
    <row r="62" spans="1:26" ht="28.5">
      <c r="A62" s="52" t="str">
        <f>Source!E33</f>
        <v>5</v>
      </c>
      <c r="B62" s="53" t="str">
        <f>Source!F33</f>
        <v>47-01-125-1</v>
      </c>
      <c r="C62" s="53" t="str">
        <f>Source!G33</f>
        <v>Уничтожение сорняков на дорожках и площадках ядохимикатами</v>
      </c>
      <c r="D62" s="34" t="str">
        <f>Source!H33</f>
        <v>1000 м2</v>
      </c>
      <c r="E62" s="12">
        <f>Source!I33</f>
        <v>0.48515000000000003</v>
      </c>
      <c r="F62" s="35">
        <f>Source!AL33+Source!AM33+Source!AO33</f>
        <v>84.17</v>
      </c>
      <c r="G62" s="36"/>
      <c r="H62" s="37"/>
      <c r="I62" s="36" t="str">
        <f>Source!BO33</f>
        <v/>
      </c>
      <c r="J62" s="36"/>
      <c r="K62" s="37"/>
      <c r="L62" s="38"/>
      <c r="S62">
        <f>ROUND((Source!FX33/100)*((ROUND(Source!AF33*Source!I33, 2)+ROUND(Source!AE33*Source!I33, 2))), 2)</f>
        <v>8.07</v>
      </c>
      <c r="T62">
        <f>Source!X33</f>
        <v>113.02</v>
      </c>
      <c r="U62">
        <f>ROUND((Source!FY33/100)*((ROUND(Source!AF33*Source!I33, 2)+ROUND(Source!AE33*Source!I33, 2))), 2)</f>
        <v>5.37</v>
      </c>
      <c r="V62">
        <f>Source!Y33</f>
        <v>70.349999999999994</v>
      </c>
    </row>
    <row r="63" spans="1:26">
      <c r="C63" s="28" t="str">
        <f>"Объем: "&amp;Source!I33&amp;"=485,15/"&amp;"1000"</f>
        <v>Объем: 0,48515=485,15/1000</v>
      </c>
    </row>
    <row r="64" spans="1:26" ht="14.25">
      <c r="A64" s="52"/>
      <c r="B64" s="53"/>
      <c r="C64" s="53" t="s">
        <v>396</v>
      </c>
      <c r="D64" s="34"/>
      <c r="E64" s="12"/>
      <c r="F64" s="35">
        <f>Source!AO33</f>
        <v>6.49</v>
      </c>
      <c r="G64" s="36" t="str">
        <f>Source!DG33</f>
        <v/>
      </c>
      <c r="H64" s="37">
        <f>ROUND(Source!AF33*Source!I33, 2)</f>
        <v>3.15</v>
      </c>
      <c r="I64" s="36"/>
      <c r="J64" s="36">
        <f>IF(Source!BA33&lt;&gt; 0, Source!BA33, 1)</f>
        <v>16.440000000000001</v>
      </c>
      <c r="K64" s="37">
        <f>Source!S33</f>
        <v>51.76</v>
      </c>
      <c r="L64" s="38"/>
      <c r="R64">
        <f>H64</f>
        <v>3.15</v>
      </c>
    </row>
    <row r="65" spans="1:26" ht="14.25">
      <c r="A65" s="52"/>
      <c r="B65" s="53"/>
      <c r="C65" s="53" t="s">
        <v>160</v>
      </c>
      <c r="D65" s="34"/>
      <c r="E65" s="12"/>
      <c r="F65" s="35">
        <f>Source!AM33</f>
        <v>77</v>
      </c>
      <c r="G65" s="36" t="str">
        <f>Source!DE33</f>
        <v/>
      </c>
      <c r="H65" s="37">
        <f>ROUND(Source!AD33*Source!I33, 2)</f>
        <v>37.36</v>
      </c>
      <c r="I65" s="36"/>
      <c r="J65" s="36">
        <f>IF(Source!BB33&lt;&gt; 0, Source!BB33, 1)</f>
        <v>6.21</v>
      </c>
      <c r="K65" s="37">
        <f>Source!Q33</f>
        <v>231.98</v>
      </c>
      <c r="L65" s="38"/>
    </row>
    <row r="66" spans="1:26" ht="14.25">
      <c r="A66" s="52"/>
      <c r="B66" s="53"/>
      <c r="C66" s="53" t="s">
        <v>397</v>
      </c>
      <c r="D66" s="34"/>
      <c r="E66" s="12"/>
      <c r="F66" s="35">
        <f>Source!AN33</f>
        <v>7.97</v>
      </c>
      <c r="G66" s="36" t="str">
        <f>Source!DF33</f>
        <v/>
      </c>
      <c r="H66" s="39">
        <f>ROUND(Source!AE33*Source!I33, 2)</f>
        <v>3.87</v>
      </c>
      <c r="I66" s="36"/>
      <c r="J66" s="36">
        <f>IF(Source!BS33&lt;&gt; 0, Source!BS33, 1)</f>
        <v>16.440000000000001</v>
      </c>
      <c r="K66" s="39">
        <f>Source!R33</f>
        <v>63.57</v>
      </c>
      <c r="L66" s="38"/>
      <c r="R66">
        <f>H66</f>
        <v>3.87</v>
      </c>
    </row>
    <row r="67" spans="1:26" ht="14.25">
      <c r="A67" s="52"/>
      <c r="B67" s="53"/>
      <c r="C67" s="53" t="s">
        <v>403</v>
      </c>
      <c r="D67" s="34"/>
      <c r="E67" s="12"/>
      <c r="F67" s="35">
        <f>Source!AL33</f>
        <v>0.68</v>
      </c>
      <c r="G67" s="36" t="str">
        <f>Source!DD33</f>
        <v/>
      </c>
      <c r="H67" s="37">
        <f>ROUND(Source!AC33*Source!I33, 2)</f>
        <v>0.33</v>
      </c>
      <c r="I67" s="36"/>
      <c r="J67" s="36">
        <f>IF(Source!BC33&lt;&gt; 0, Source!BC33, 1)</f>
        <v>5.9</v>
      </c>
      <c r="K67" s="37">
        <f>Source!P33</f>
        <v>1.95</v>
      </c>
      <c r="L67" s="38"/>
    </row>
    <row r="68" spans="1:26" ht="14.25">
      <c r="A68" s="52"/>
      <c r="B68" s="53"/>
      <c r="C68" s="53" t="s">
        <v>398</v>
      </c>
      <c r="D68" s="34" t="s">
        <v>399</v>
      </c>
      <c r="E68" s="12">
        <f>Source!BZ33</f>
        <v>115</v>
      </c>
      <c r="F68" s="56"/>
      <c r="G68" s="36"/>
      <c r="H68" s="37">
        <f>SUM(S62:S71)</f>
        <v>8.07</v>
      </c>
      <c r="I68" s="40" t="str">
        <f>CONCATENATE(Source!FX33, Source!FV33, "=")</f>
        <v>115*0,85=</v>
      </c>
      <c r="J68" s="33">
        <f>Source!AT33</f>
        <v>98</v>
      </c>
      <c r="K68" s="37">
        <f>SUM(T62:T71)</f>
        <v>113.02</v>
      </c>
      <c r="L68" s="38"/>
    </row>
    <row r="69" spans="1:26" ht="14.25">
      <c r="A69" s="52"/>
      <c r="B69" s="53"/>
      <c r="C69" s="53" t="s">
        <v>400</v>
      </c>
      <c r="D69" s="34" t="s">
        <v>399</v>
      </c>
      <c r="E69" s="12">
        <f>Source!CA33</f>
        <v>90</v>
      </c>
      <c r="F69" s="59" t="str">
        <f>CONCATENATE(" )", Source!DM33, Source!FU33, "=", Source!FY33)</f>
        <v xml:space="preserve"> )*0,85=76,5</v>
      </c>
      <c r="G69" s="65"/>
      <c r="H69" s="37">
        <f>SUM(U62:U71)</f>
        <v>5.37</v>
      </c>
      <c r="I69" s="40" t="str">
        <f>CONCATENATE(Source!FY33, Source!FW33, "=")</f>
        <v>76,5*0,8=</v>
      </c>
      <c r="J69" s="33">
        <f>Source!AU33</f>
        <v>61</v>
      </c>
      <c r="K69" s="37">
        <f>SUM(V62:V71)</f>
        <v>70.349999999999994</v>
      </c>
      <c r="L69" s="38"/>
    </row>
    <row r="70" spans="1:26" ht="14.25">
      <c r="A70" s="52"/>
      <c r="B70" s="53"/>
      <c r="C70" s="53" t="s">
        <v>401</v>
      </c>
      <c r="D70" s="34" t="s">
        <v>402</v>
      </c>
      <c r="E70" s="12">
        <f>Source!AQ33</f>
        <v>0.72</v>
      </c>
      <c r="F70" s="35"/>
      <c r="G70" s="36" t="str">
        <f>Source!DI33</f>
        <v/>
      </c>
      <c r="H70" s="37"/>
      <c r="I70" s="36"/>
      <c r="J70" s="36"/>
      <c r="K70" s="37"/>
      <c r="L70" s="49">
        <f>Source!U33</f>
        <v>0.34930800000000001</v>
      </c>
    </row>
    <row r="71" spans="1:26" ht="54">
      <c r="A71" s="54" t="str">
        <f>Source!E35</f>
        <v>5,1</v>
      </c>
      <c r="B71" s="55" t="str">
        <f>Source!F35</f>
        <v>Цена поставщика</v>
      </c>
      <c r="C71" s="55" t="s">
        <v>404</v>
      </c>
      <c r="D71" s="41" t="str">
        <f>Source!H35</f>
        <v>ШТ</v>
      </c>
      <c r="E71" s="42">
        <f>Source!I35</f>
        <v>1</v>
      </c>
      <c r="F71" s="43">
        <f>Source!AL35+Source!AM35+Source!AO35</f>
        <v>28.7</v>
      </c>
      <c r="G71" s="50" t="s">
        <v>3</v>
      </c>
      <c r="H71" s="45">
        <f>ROUND(Source!AC35*Source!I35, 2)+ROUND(Source!AD35*Source!I35, 2)+ROUND(Source!AF35*Source!I35, 2)</f>
        <v>28.7</v>
      </c>
      <c r="I71" s="44"/>
      <c r="J71" s="44">
        <f>IF(Source!BC35&lt;&gt; 0, Source!BC35, 1)</f>
        <v>5.9</v>
      </c>
      <c r="K71" s="45">
        <f>Source!O35</f>
        <v>169.33</v>
      </c>
      <c r="L71" s="48"/>
      <c r="S71">
        <f>ROUND((Source!FX35/100)*((ROUND(Source!AF35*Source!I35, 2)+ROUND(Source!AE35*Source!I35, 2))), 2)</f>
        <v>0</v>
      </c>
      <c r="T71">
        <f>Source!X35</f>
        <v>0</v>
      </c>
      <c r="U71">
        <f>ROUND((Source!FY35/100)*((ROUND(Source!AF35*Source!I35, 2)+ROUND(Source!AE35*Source!I35, 2))), 2)</f>
        <v>0</v>
      </c>
      <c r="V71">
        <f>Source!Y35</f>
        <v>0</v>
      </c>
      <c r="W71">
        <f>IF(Source!BI35&lt;=1,H71, 0)</f>
        <v>28.7</v>
      </c>
      <c r="X71">
        <f>IF(Source!BI35=2,H71, 0)</f>
        <v>0</v>
      </c>
      <c r="Y71">
        <f>IF(Source!BI35=3,H71, 0)</f>
        <v>0</v>
      </c>
      <c r="Z71">
        <f>IF(Source!BI35=4,H71, 0)</f>
        <v>0</v>
      </c>
    </row>
    <row r="72" spans="1:26" ht="15">
      <c r="G72" s="73">
        <f>H64+H65+H67+H68+H69+SUM(H71:H71)</f>
        <v>82.97999999999999</v>
      </c>
      <c r="H72" s="73"/>
      <c r="J72" s="73">
        <f>K64+K65+K67+K68+K69+SUM(K71:K71)</f>
        <v>638.39</v>
      </c>
      <c r="K72" s="73"/>
      <c r="L72" s="47">
        <f>Source!U33</f>
        <v>0.34930800000000001</v>
      </c>
      <c r="O72" s="29">
        <f>G72</f>
        <v>82.97999999999999</v>
      </c>
      <c r="P72" s="29">
        <f>J72</f>
        <v>638.39</v>
      </c>
      <c r="Q72" s="29">
        <f>L72</f>
        <v>0.34930800000000001</v>
      </c>
      <c r="W72">
        <f>IF(Source!BI33&lt;=1,H64+H65+H67+H68+H69, 0)</f>
        <v>54.279999999999994</v>
      </c>
      <c r="X72">
        <f>IF(Source!BI33=2,H64+H65+H67+H68+H69, 0)</f>
        <v>0</v>
      </c>
      <c r="Y72">
        <f>IF(Source!BI33=3,H64+H65+H67+H68+H69, 0)</f>
        <v>0</v>
      </c>
      <c r="Z72">
        <f>IF(Source!BI33=4,H64+H65+H67+H68+H69, 0)</f>
        <v>0</v>
      </c>
    </row>
    <row r="73" spans="1:26" ht="99.75">
      <c r="A73" s="52" t="str">
        <f>Source!E37</f>
        <v>6</v>
      </c>
      <c r="B73" s="53" t="str">
        <f>Source!F37</f>
        <v>27-04-001-1</v>
      </c>
      <c r="C73" s="53" t="str">
        <f>Source!G37</f>
        <v>Устройство подстилающих и выравнивающих слоев оснований: из песка</v>
      </c>
      <c r="D73" s="34" t="str">
        <f>Source!H37</f>
        <v>100 м3 материала основания (в плотном теле)</v>
      </c>
      <c r="E73" s="12">
        <f>Source!I37</f>
        <v>0.74399999999999999</v>
      </c>
      <c r="F73" s="35">
        <f>Source!AL37+Source!AM37+Source!AO37</f>
        <v>2254.4699999999998</v>
      </c>
      <c r="G73" s="36"/>
      <c r="H73" s="37"/>
      <c r="I73" s="36" t="str">
        <f>Source!BO37</f>
        <v/>
      </c>
      <c r="J73" s="36"/>
      <c r="K73" s="37"/>
      <c r="L73" s="38"/>
      <c r="S73">
        <f>ROUND((Source!FX37/100)*((ROUND(Source!AF37*Source!I37, 2)+ROUND(Source!AE37*Source!I37, 2))), 2)</f>
        <v>354.74</v>
      </c>
      <c r="T73">
        <f>Source!X37</f>
        <v>4969.47</v>
      </c>
      <c r="U73">
        <f>ROUND((Source!FY37/100)*((ROUND(Source!AF37*Source!I37, 2)+ROUND(Source!AE37*Source!I37, 2))), 2)</f>
        <v>201.73</v>
      </c>
      <c r="V73">
        <f>Source!Y37</f>
        <v>2669.55</v>
      </c>
    </row>
    <row r="74" spans="1:26">
      <c r="C74" s="28" t="str">
        <f>"Объем: "&amp;Source!I37&amp;"=74,4/"&amp;"100"</f>
        <v>Объем: 0,744=74,4/100</v>
      </c>
    </row>
    <row r="75" spans="1:26" ht="14.25">
      <c r="A75" s="52"/>
      <c r="B75" s="53"/>
      <c r="C75" s="53" t="s">
        <v>396</v>
      </c>
      <c r="D75" s="34"/>
      <c r="E75" s="12"/>
      <c r="F75" s="35">
        <f>Source!AO37</f>
        <v>102.49</v>
      </c>
      <c r="G75" s="36" t="str">
        <f>Source!DG37</f>
        <v>)*1,15</v>
      </c>
      <c r="H75" s="37">
        <f>ROUND(Source!AF37*Source!I37, 2)</f>
        <v>87.69</v>
      </c>
      <c r="I75" s="36"/>
      <c r="J75" s="36">
        <f>IF(Source!BA37&lt;&gt; 0, Source!BA37, 1)</f>
        <v>16.440000000000001</v>
      </c>
      <c r="K75" s="37">
        <f>Source!S37</f>
        <v>1441.63</v>
      </c>
      <c r="L75" s="38"/>
      <c r="R75">
        <f>H75</f>
        <v>87.69</v>
      </c>
    </row>
    <row r="76" spans="1:26" ht="14.25">
      <c r="A76" s="52"/>
      <c r="B76" s="53"/>
      <c r="C76" s="53" t="s">
        <v>160</v>
      </c>
      <c r="D76" s="34"/>
      <c r="E76" s="12"/>
      <c r="F76" s="35">
        <f>Source!AM37</f>
        <v>2140.6799999999998</v>
      </c>
      <c r="G76" s="36" t="str">
        <f>Source!DE37</f>
        <v>)*1,25</v>
      </c>
      <c r="H76" s="37">
        <f>ROUND(Source!AD37*Source!I37, 2)</f>
        <v>1990.83</v>
      </c>
      <c r="I76" s="36"/>
      <c r="J76" s="36">
        <f>IF(Source!BB37&lt;&gt; 0, Source!BB37, 1)</f>
        <v>6.21</v>
      </c>
      <c r="K76" s="37">
        <f>Source!Q37</f>
        <v>12363.07</v>
      </c>
      <c r="L76" s="38"/>
    </row>
    <row r="77" spans="1:26" ht="14.25">
      <c r="A77" s="52"/>
      <c r="B77" s="53"/>
      <c r="C77" s="53" t="s">
        <v>397</v>
      </c>
      <c r="D77" s="34"/>
      <c r="E77" s="12"/>
      <c r="F77" s="35">
        <f>Source!AN37</f>
        <v>174.33</v>
      </c>
      <c r="G77" s="36" t="str">
        <f>Source!DF37</f>
        <v>)*1,25</v>
      </c>
      <c r="H77" s="39">
        <f>ROUND(Source!AE37*Source!I37, 2)</f>
        <v>162.13</v>
      </c>
      <c r="I77" s="36"/>
      <c r="J77" s="36">
        <f>IF(Source!BS37&lt;&gt; 0, Source!BS37, 1)</f>
        <v>16.440000000000001</v>
      </c>
      <c r="K77" s="39">
        <f>Source!R37</f>
        <v>2665.37</v>
      </c>
      <c r="L77" s="38"/>
      <c r="R77">
        <f>H77</f>
        <v>162.13</v>
      </c>
    </row>
    <row r="78" spans="1:26" ht="14.25">
      <c r="A78" s="52"/>
      <c r="B78" s="53"/>
      <c r="C78" s="53" t="s">
        <v>403</v>
      </c>
      <c r="D78" s="34"/>
      <c r="E78" s="12"/>
      <c r="F78" s="35">
        <f>Source!AL37</f>
        <v>11.3</v>
      </c>
      <c r="G78" s="36" t="str">
        <f>Source!DD37</f>
        <v/>
      </c>
      <c r="H78" s="37">
        <f>ROUND(Source!AC37*Source!I37, 2)</f>
        <v>8.41</v>
      </c>
      <c r="I78" s="36"/>
      <c r="J78" s="36">
        <f>IF(Source!BC37&lt;&gt; 0, Source!BC37, 1)</f>
        <v>5.9</v>
      </c>
      <c r="K78" s="37">
        <f>Source!P37</f>
        <v>49.6</v>
      </c>
      <c r="L78" s="38"/>
    </row>
    <row r="79" spans="1:26" ht="14.25">
      <c r="A79" s="52"/>
      <c r="B79" s="53"/>
      <c r="C79" s="53" t="s">
        <v>398</v>
      </c>
      <c r="D79" s="34" t="s">
        <v>399</v>
      </c>
      <c r="E79" s="12">
        <f>Source!BZ37</f>
        <v>142</v>
      </c>
      <c r="F79" s="56"/>
      <c r="G79" s="36"/>
      <c r="H79" s="37">
        <f>SUM(S73:S82)</f>
        <v>354.74</v>
      </c>
      <c r="I79" s="40" t="str">
        <f>CONCATENATE(Source!FX37, Source!FV37, "=")</f>
        <v>142*0,85=</v>
      </c>
      <c r="J79" s="33">
        <f>Source!AT37</f>
        <v>121</v>
      </c>
      <c r="K79" s="37">
        <f>SUM(T73:T82)</f>
        <v>4969.47</v>
      </c>
      <c r="L79" s="38"/>
    </row>
    <row r="80" spans="1:26" ht="14.25">
      <c r="A80" s="52"/>
      <c r="B80" s="53"/>
      <c r="C80" s="53" t="s">
        <v>400</v>
      </c>
      <c r="D80" s="34" t="s">
        <v>399</v>
      </c>
      <c r="E80" s="12">
        <f>Source!CA37</f>
        <v>95</v>
      </c>
      <c r="F80" s="59" t="str">
        <f>CONCATENATE(" )", Source!DM37, Source!FU37, "=", Source!FY37)</f>
        <v xml:space="preserve"> )*0,85=80,75</v>
      </c>
      <c r="G80" s="65"/>
      <c r="H80" s="37">
        <f>SUM(U73:U82)</f>
        <v>201.73</v>
      </c>
      <c r="I80" s="40" t="str">
        <f>CONCATENATE(Source!FY37, Source!FW37, "=")</f>
        <v>80,75*0,8=</v>
      </c>
      <c r="J80" s="33">
        <f>Source!AU37</f>
        <v>65</v>
      </c>
      <c r="K80" s="37">
        <f>SUM(V73:V82)</f>
        <v>2669.55</v>
      </c>
      <c r="L80" s="38"/>
    </row>
    <row r="81" spans="1:26" ht="14.25">
      <c r="A81" s="52"/>
      <c r="B81" s="53"/>
      <c r="C81" s="53" t="s">
        <v>401</v>
      </c>
      <c r="D81" s="34" t="s">
        <v>402</v>
      </c>
      <c r="E81" s="12">
        <f>Source!AQ37</f>
        <v>15.72</v>
      </c>
      <c r="F81" s="35"/>
      <c r="G81" s="36" t="str">
        <f>Source!DI37</f>
        <v>)*1,15</v>
      </c>
      <c r="H81" s="37"/>
      <c r="I81" s="36"/>
      <c r="J81" s="36"/>
      <c r="K81" s="37"/>
      <c r="L81" s="49">
        <f>Source!U37</f>
        <v>13.450032</v>
      </c>
    </row>
    <row r="82" spans="1:26" ht="28.5">
      <c r="A82" s="54" t="str">
        <f>Source!E39</f>
        <v>6,1</v>
      </c>
      <c r="B82" s="55" t="str">
        <f>Source!F39</f>
        <v>408-0122</v>
      </c>
      <c r="C82" s="55" t="str">
        <f>Source!G39</f>
        <v>Песок природный для строительных работ средний</v>
      </c>
      <c r="D82" s="41" t="str">
        <f>Source!H39</f>
        <v>м3</v>
      </c>
      <c r="E82" s="42">
        <f>Source!I39</f>
        <v>81.84</v>
      </c>
      <c r="F82" s="43">
        <f>Source!AL39+Source!AM39+Source!AO39</f>
        <v>51.17</v>
      </c>
      <c r="G82" s="50" t="s">
        <v>3</v>
      </c>
      <c r="H82" s="45">
        <f>ROUND(Source!AC39*Source!I39, 2)+ROUND(Source!AD39*Source!I39, 2)+ROUND(Source!AF39*Source!I39, 2)</f>
        <v>4187.75</v>
      </c>
      <c r="I82" s="44"/>
      <c r="J82" s="44">
        <f>IF(Source!BC39&lt;&gt; 0, Source!BC39, 1)</f>
        <v>5.9</v>
      </c>
      <c r="K82" s="45">
        <f>Source!O39</f>
        <v>24707.74</v>
      </c>
      <c r="L82" s="48"/>
      <c r="S82">
        <f>ROUND((Source!FX39/100)*((ROUND(Source!AF39*Source!I39, 2)+ROUND(Source!AE39*Source!I39, 2))), 2)</f>
        <v>0</v>
      </c>
      <c r="T82">
        <f>Source!X39</f>
        <v>0</v>
      </c>
      <c r="U82">
        <f>ROUND((Source!FY39/100)*((ROUND(Source!AF39*Source!I39, 2)+ROUND(Source!AE39*Source!I39, 2))), 2)</f>
        <v>0</v>
      </c>
      <c r="V82">
        <f>Source!Y39</f>
        <v>0</v>
      </c>
      <c r="W82">
        <f>IF(Source!BI39&lt;=1,H82, 0)</f>
        <v>4187.75</v>
      </c>
      <c r="X82">
        <f>IF(Source!BI39=2,H82, 0)</f>
        <v>0</v>
      </c>
      <c r="Y82">
        <f>IF(Source!BI39=3,H82, 0)</f>
        <v>0</v>
      </c>
      <c r="Z82">
        <f>IF(Source!BI39=4,H82, 0)</f>
        <v>0</v>
      </c>
    </row>
    <row r="83" spans="1:26" ht="15">
      <c r="G83" s="73">
        <f>H75+H76+H78+H79+H80+SUM(H82:H82)</f>
        <v>6831.15</v>
      </c>
      <c r="H83" s="73"/>
      <c r="J83" s="73">
        <f>K75+K76+K78+K79+K80+SUM(K82:K82)</f>
        <v>46201.06</v>
      </c>
      <c r="K83" s="73"/>
      <c r="L83" s="47">
        <f>Source!U37</f>
        <v>13.450032</v>
      </c>
      <c r="O83" s="29">
        <f>G83</f>
        <v>6831.15</v>
      </c>
      <c r="P83" s="29">
        <f>J83</f>
        <v>46201.06</v>
      </c>
      <c r="Q83" s="29">
        <f>L83</f>
        <v>13.450032</v>
      </c>
      <c r="W83">
        <f>IF(Source!BI37&lt;=1,H75+H76+H78+H79+H80, 0)</f>
        <v>2643.4</v>
      </c>
      <c r="X83">
        <f>IF(Source!BI37=2,H75+H76+H78+H79+H80, 0)</f>
        <v>0</v>
      </c>
      <c r="Y83">
        <f>IF(Source!BI37=3,H75+H76+H78+H79+H80, 0)</f>
        <v>0</v>
      </c>
      <c r="Z83">
        <f>IF(Source!BI37=4,H75+H76+H78+H79+H80, 0)</f>
        <v>0</v>
      </c>
    </row>
    <row r="84" spans="1:26" ht="99.75">
      <c r="A84" s="52" t="str">
        <f>Source!E41</f>
        <v>7</v>
      </c>
      <c r="B84" s="53" t="str">
        <f>Source!F41</f>
        <v>27-04-001-4</v>
      </c>
      <c r="C84" s="53" t="str">
        <f>Source!G41</f>
        <v>Устройство подстилающих и выравнивающих слоев оснований: из щебня</v>
      </c>
      <c r="D84" s="34" t="str">
        <f>Source!H41</f>
        <v>100 м3 материала основания (в плотном теле)</v>
      </c>
      <c r="E84" s="12">
        <f>Source!I41</f>
        <v>0.496</v>
      </c>
      <c r="F84" s="35">
        <f>Source!AL41+Source!AM41+Source!AO41</f>
        <v>3511.4300000000003</v>
      </c>
      <c r="G84" s="36"/>
      <c r="H84" s="37"/>
      <c r="I84" s="36" t="str">
        <f>Source!BO41</f>
        <v/>
      </c>
      <c r="J84" s="36"/>
      <c r="K84" s="37"/>
      <c r="L84" s="38"/>
      <c r="S84">
        <f>ROUND((Source!FX41/100)*((ROUND(Source!AF41*Source!I41, 2)+ROUND(Source!AE41*Source!I41, 2))), 2)</f>
        <v>369.77</v>
      </c>
      <c r="T84">
        <f>Source!X41</f>
        <v>5180.0600000000004</v>
      </c>
      <c r="U84">
        <f>ROUND((Source!FY41/100)*((ROUND(Source!AF41*Source!I41, 2)+ROUND(Source!AE41*Source!I41, 2))), 2)</f>
        <v>210.27</v>
      </c>
      <c r="V84">
        <f>Source!Y41</f>
        <v>2782.68</v>
      </c>
    </row>
    <row r="85" spans="1:26">
      <c r="C85" s="28" t="str">
        <f>"Объем: "&amp;Source!I41&amp;"=49,6/"&amp;"100"</f>
        <v>Объем: 0,496=49,6/100</v>
      </c>
    </row>
    <row r="86" spans="1:26" ht="14.25">
      <c r="A86" s="52"/>
      <c r="B86" s="53"/>
      <c r="C86" s="53" t="s">
        <v>396</v>
      </c>
      <c r="D86" s="34"/>
      <c r="E86" s="12"/>
      <c r="F86" s="35">
        <f>Source!AO41</f>
        <v>159.16999999999999</v>
      </c>
      <c r="G86" s="36" t="str">
        <f>Source!DG41</f>
        <v>)*1,15</v>
      </c>
      <c r="H86" s="37">
        <f>ROUND(Source!AF41*Source!I41, 2)</f>
        <v>90.79</v>
      </c>
      <c r="I86" s="36"/>
      <c r="J86" s="36">
        <f>IF(Source!BA41&lt;&gt; 0, Source!BA41, 1)</f>
        <v>16.440000000000001</v>
      </c>
      <c r="K86" s="37">
        <f>Source!S41</f>
        <v>1492.6</v>
      </c>
      <c r="L86" s="38"/>
      <c r="R86">
        <f>H86</f>
        <v>90.79</v>
      </c>
    </row>
    <row r="87" spans="1:26" ht="14.25">
      <c r="A87" s="52"/>
      <c r="B87" s="53"/>
      <c r="C87" s="53" t="s">
        <v>160</v>
      </c>
      <c r="D87" s="34"/>
      <c r="E87" s="12"/>
      <c r="F87" s="35">
        <f>Source!AM41</f>
        <v>3336.44</v>
      </c>
      <c r="G87" s="36" t="str">
        <f>Source!DE41</f>
        <v>)*1,25</v>
      </c>
      <c r="H87" s="37">
        <f>ROUND(Source!AD41*Source!I41, 2)</f>
        <v>2068.59</v>
      </c>
      <c r="I87" s="36"/>
      <c r="J87" s="36">
        <f>IF(Source!BB41&lt;&gt; 0, Source!BB41, 1)</f>
        <v>6.21</v>
      </c>
      <c r="K87" s="37">
        <f>Source!Q41</f>
        <v>12845.96</v>
      </c>
      <c r="L87" s="38"/>
    </row>
    <row r="88" spans="1:26" ht="14.25">
      <c r="A88" s="52"/>
      <c r="B88" s="53"/>
      <c r="C88" s="53" t="s">
        <v>397</v>
      </c>
      <c r="D88" s="34"/>
      <c r="E88" s="12"/>
      <c r="F88" s="35">
        <f>Source!AN41</f>
        <v>273.57</v>
      </c>
      <c r="G88" s="36" t="str">
        <f>Source!DF41</f>
        <v>)*1,25</v>
      </c>
      <c r="H88" s="39">
        <f>ROUND(Source!AE41*Source!I41, 2)</f>
        <v>169.61</v>
      </c>
      <c r="I88" s="36"/>
      <c r="J88" s="36">
        <f>IF(Source!BS41&lt;&gt; 0, Source!BS41, 1)</f>
        <v>16.440000000000001</v>
      </c>
      <c r="K88" s="39">
        <f>Source!R41</f>
        <v>2788.44</v>
      </c>
      <c r="L88" s="38"/>
      <c r="R88">
        <f>H88</f>
        <v>169.61</v>
      </c>
    </row>
    <row r="89" spans="1:26" ht="14.25">
      <c r="A89" s="52"/>
      <c r="B89" s="53"/>
      <c r="C89" s="53" t="s">
        <v>403</v>
      </c>
      <c r="D89" s="34"/>
      <c r="E89" s="12"/>
      <c r="F89" s="35">
        <f>Source!AL41</f>
        <v>15.82</v>
      </c>
      <c r="G89" s="36" t="str">
        <f>Source!DD41</f>
        <v/>
      </c>
      <c r="H89" s="37">
        <f>ROUND(Source!AC41*Source!I41, 2)</f>
        <v>7.85</v>
      </c>
      <c r="I89" s="36"/>
      <c r="J89" s="36">
        <f>IF(Source!BC41&lt;&gt; 0, Source!BC41, 1)</f>
        <v>5.9</v>
      </c>
      <c r="K89" s="37">
        <f>Source!P41</f>
        <v>46.3</v>
      </c>
      <c r="L89" s="38"/>
    </row>
    <row r="90" spans="1:26" ht="14.25">
      <c r="A90" s="52"/>
      <c r="B90" s="53"/>
      <c r="C90" s="53" t="s">
        <v>398</v>
      </c>
      <c r="D90" s="34" t="s">
        <v>399</v>
      </c>
      <c r="E90" s="12">
        <f>Source!BZ41</f>
        <v>142</v>
      </c>
      <c r="F90" s="56"/>
      <c r="G90" s="36"/>
      <c r="H90" s="37">
        <f>SUM(S84:S93)</f>
        <v>369.77</v>
      </c>
      <c r="I90" s="40" t="str">
        <f>CONCATENATE(Source!FX41, Source!FV41, "=")</f>
        <v>142*0,85=</v>
      </c>
      <c r="J90" s="33">
        <f>Source!AT41</f>
        <v>121</v>
      </c>
      <c r="K90" s="37">
        <f>SUM(T84:T93)</f>
        <v>5180.0600000000004</v>
      </c>
      <c r="L90" s="38"/>
    </row>
    <row r="91" spans="1:26" ht="14.25">
      <c r="A91" s="52"/>
      <c r="B91" s="53"/>
      <c r="C91" s="53" t="s">
        <v>400</v>
      </c>
      <c r="D91" s="34" t="s">
        <v>399</v>
      </c>
      <c r="E91" s="12">
        <f>Source!CA41</f>
        <v>95</v>
      </c>
      <c r="F91" s="59" t="str">
        <f>CONCATENATE(" )", Source!DM41, Source!FU41, "=", Source!FY41)</f>
        <v xml:space="preserve"> )*0,85=80,75</v>
      </c>
      <c r="G91" s="65"/>
      <c r="H91" s="37">
        <f>SUM(U84:U93)</f>
        <v>210.27</v>
      </c>
      <c r="I91" s="40" t="str">
        <f>CONCATENATE(Source!FY41, Source!FW41, "=")</f>
        <v>80,75*0,8=</v>
      </c>
      <c r="J91" s="33">
        <f>Source!AU41</f>
        <v>65</v>
      </c>
      <c r="K91" s="37">
        <f>SUM(V84:V93)</f>
        <v>2782.68</v>
      </c>
      <c r="L91" s="38"/>
    </row>
    <row r="92" spans="1:26" ht="14.25">
      <c r="A92" s="52"/>
      <c r="B92" s="53"/>
      <c r="C92" s="53" t="s">
        <v>401</v>
      </c>
      <c r="D92" s="34" t="s">
        <v>402</v>
      </c>
      <c r="E92" s="12">
        <f>Source!AQ41</f>
        <v>24.19</v>
      </c>
      <c r="F92" s="35"/>
      <c r="G92" s="36" t="str">
        <f>Source!DI41</f>
        <v>)*1,15</v>
      </c>
      <c r="H92" s="37"/>
      <c r="I92" s="36"/>
      <c r="J92" s="36"/>
      <c r="K92" s="37"/>
      <c r="L92" s="49">
        <f>Source!U41</f>
        <v>13.797976</v>
      </c>
    </row>
    <row r="93" spans="1:26" ht="42.75">
      <c r="A93" s="54" t="str">
        <f>Source!E43</f>
        <v>7,1</v>
      </c>
      <c r="B93" s="55" t="str">
        <f>Source!F43</f>
        <v>408-0038</v>
      </c>
      <c r="C93" s="55" t="str">
        <f>Source!G43</f>
        <v>Щебень из природного камня для строительных работ марка 800, фракция 5-20 мм</v>
      </c>
      <c r="D93" s="41" t="str">
        <f>Source!H43</f>
        <v>м3</v>
      </c>
      <c r="E93" s="42">
        <f>Source!I43</f>
        <v>62.496000000000002</v>
      </c>
      <c r="F93" s="43">
        <f>Source!AL43+Source!AM43+Source!AO43</f>
        <v>152.44</v>
      </c>
      <c r="G93" s="50" t="s">
        <v>3</v>
      </c>
      <c r="H93" s="45">
        <f>ROUND(Source!AC43*Source!I43, 2)+ROUND(Source!AD43*Source!I43, 2)+ROUND(Source!AF43*Source!I43, 2)</f>
        <v>9526.89</v>
      </c>
      <c r="I93" s="44"/>
      <c r="J93" s="44">
        <f>IF(Source!BC43&lt;&gt; 0, Source!BC43, 1)</f>
        <v>5.9</v>
      </c>
      <c r="K93" s="45">
        <f>Source!O43</f>
        <v>56208.65</v>
      </c>
      <c r="L93" s="48"/>
      <c r="S93">
        <f>ROUND((Source!FX43/100)*((ROUND(Source!AF43*Source!I43, 2)+ROUND(Source!AE43*Source!I43, 2))), 2)</f>
        <v>0</v>
      </c>
      <c r="T93">
        <f>Source!X43</f>
        <v>0</v>
      </c>
      <c r="U93">
        <f>ROUND((Source!FY43/100)*((ROUND(Source!AF43*Source!I43, 2)+ROUND(Source!AE43*Source!I43, 2))), 2)</f>
        <v>0</v>
      </c>
      <c r="V93">
        <f>Source!Y43</f>
        <v>0</v>
      </c>
      <c r="W93">
        <f>IF(Source!BI43&lt;=1,H93, 0)</f>
        <v>9526.89</v>
      </c>
      <c r="X93">
        <f>IF(Source!BI43=2,H93, 0)</f>
        <v>0</v>
      </c>
      <c r="Y93">
        <f>IF(Source!BI43=3,H93, 0)</f>
        <v>0</v>
      </c>
      <c r="Z93">
        <f>IF(Source!BI43=4,H93, 0)</f>
        <v>0</v>
      </c>
    </row>
    <row r="94" spans="1:26" ht="15">
      <c r="G94" s="73">
        <f>H86+H87+H89+H90+H91+SUM(H93:H93)</f>
        <v>12274.16</v>
      </c>
      <c r="H94" s="73"/>
      <c r="J94" s="73">
        <f>K86+K87+K89+K90+K91+SUM(K93:K93)</f>
        <v>78556.25</v>
      </c>
      <c r="K94" s="73"/>
      <c r="L94" s="47">
        <f>Source!U41</f>
        <v>13.797976</v>
      </c>
      <c r="O94" s="29">
        <f>G94</f>
        <v>12274.16</v>
      </c>
      <c r="P94" s="29">
        <f>J94</f>
        <v>78556.25</v>
      </c>
      <c r="Q94" s="29">
        <f>L94</f>
        <v>13.797976</v>
      </c>
      <c r="W94">
        <f>IF(Source!BI41&lt;=1,H86+H87+H89+H90+H91, 0)</f>
        <v>2747.27</v>
      </c>
      <c r="X94">
        <f>IF(Source!BI41=2,H86+H87+H89+H90+H91, 0)</f>
        <v>0</v>
      </c>
      <c r="Y94">
        <f>IF(Source!BI41=3,H86+H87+H89+H90+H91, 0)</f>
        <v>0</v>
      </c>
      <c r="Z94">
        <f>IF(Source!BI41=4,H86+H87+H89+H90+H91, 0)</f>
        <v>0</v>
      </c>
    </row>
    <row r="95" spans="1:26" ht="42.75">
      <c r="A95" s="52" t="str">
        <f>Source!E45</f>
        <v>8</v>
      </c>
      <c r="B95" s="53" t="str">
        <f>Source!F45</f>
        <v>27-02-010-2</v>
      </c>
      <c r="C95" s="53" t="str">
        <f>Source!G45</f>
        <v>Установка бортовых камней бетонных: при других видах покрытий</v>
      </c>
      <c r="D95" s="34" t="str">
        <f>Source!H45</f>
        <v>100 м бортового камня</v>
      </c>
      <c r="E95" s="12">
        <f>Source!I45</f>
        <v>1.022</v>
      </c>
      <c r="F95" s="35">
        <f>Source!AL45+Source!AM45+Source!AO45</f>
        <v>4027.2599999999998</v>
      </c>
      <c r="G95" s="36"/>
      <c r="H95" s="37"/>
      <c r="I95" s="36" t="str">
        <f>Source!BO45</f>
        <v/>
      </c>
      <c r="J95" s="36"/>
      <c r="K95" s="37"/>
      <c r="L95" s="38"/>
      <c r="S95">
        <f>ROUND((Source!FX45/100)*((ROUND(Source!AF45*Source!I45, 2)+ROUND(Source!AE45*Source!I45, 2))), 2)</f>
        <v>889.93</v>
      </c>
      <c r="T95">
        <f>Source!X45</f>
        <v>12466.78</v>
      </c>
      <c r="U95">
        <f>ROUND((Source!FY45/100)*((ROUND(Source!AF45*Source!I45, 2)+ROUND(Source!AE45*Source!I45, 2))), 2)</f>
        <v>506.07</v>
      </c>
      <c r="V95">
        <f>Source!Y45</f>
        <v>6697.03</v>
      </c>
    </row>
    <row r="96" spans="1:26">
      <c r="C96" s="28" t="str">
        <f>"Объем: "&amp;Source!I45&amp;"=102,2/"&amp;"100"</f>
        <v>Объем: 1,022=102,2/100</v>
      </c>
    </row>
    <row r="97" spans="1:26" ht="14.25">
      <c r="A97" s="52"/>
      <c r="B97" s="53"/>
      <c r="C97" s="53" t="s">
        <v>396</v>
      </c>
      <c r="D97" s="34"/>
      <c r="E97" s="12"/>
      <c r="F97" s="35">
        <f>Source!AO45</f>
        <v>523.42999999999995</v>
      </c>
      <c r="G97" s="36" t="str">
        <f>Source!DG45</f>
        <v>)*1,15</v>
      </c>
      <c r="H97" s="37">
        <f>ROUND(Source!AF45*Source!I45, 2)</f>
        <v>615.19000000000005</v>
      </c>
      <c r="I97" s="36"/>
      <c r="J97" s="36">
        <f>IF(Source!BA45&lt;&gt; 0, Source!BA45, 1)</f>
        <v>16.440000000000001</v>
      </c>
      <c r="K97" s="37">
        <f>Source!S45</f>
        <v>10113.68</v>
      </c>
      <c r="L97" s="38"/>
      <c r="R97">
        <f>H97</f>
        <v>615.19000000000005</v>
      </c>
    </row>
    <row r="98" spans="1:26" ht="14.25">
      <c r="A98" s="52"/>
      <c r="B98" s="53"/>
      <c r="C98" s="53" t="s">
        <v>160</v>
      </c>
      <c r="D98" s="34"/>
      <c r="E98" s="12"/>
      <c r="F98" s="35">
        <f>Source!AM45</f>
        <v>79.45</v>
      </c>
      <c r="G98" s="36" t="str">
        <f>Source!DE45</f>
        <v>)*1,25</v>
      </c>
      <c r="H98" s="37">
        <f>ROUND(Source!AD45*Source!I45, 2)</f>
        <v>101.5</v>
      </c>
      <c r="I98" s="36"/>
      <c r="J98" s="36">
        <f>IF(Source!BB45&lt;&gt; 0, Source!BB45, 1)</f>
        <v>6.21</v>
      </c>
      <c r="K98" s="37">
        <f>Source!Q45</f>
        <v>630.29999999999995</v>
      </c>
      <c r="L98" s="38"/>
    </row>
    <row r="99" spans="1:26" ht="14.25">
      <c r="A99" s="52"/>
      <c r="B99" s="53"/>
      <c r="C99" s="53" t="s">
        <v>397</v>
      </c>
      <c r="D99" s="34"/>
      <c r="E99" s="12"/>
      <c r="F99" s="35">
        <f>Source!AN45</f>
        <v>9.02</v>
      </c>
      <c r="G99" s="36" t="str">
        <f>Source!DF45</f>
        <v>)*1,25</v>
      </c>
      <c r="H99" s="39">
        <f>ROUND(Source!AE45*Source!I45, 2)</f>
        <v>11.52</v>
      </c>
      <c r="I99" s="36"/>
      <c r="J99" s="36">
        <f>IF(Source!BS45&lt;&gt; 0, Source!BS45, 1)</f>
        <v>16.440000000000001</v>
      </c>
      <c r="K99" s="39">
        <f>Source!R45</f>
        <v>189.44</v>
      </c>
      <c r="L99" s="38"/>
      <c r="R99">
        <f>H99</f>
        <v>11.52</v>
      </c>
    </row>
    <row r="100" spans="1:26" ht="14.25">
      <c r="A100" s="52"/>
      <c r="B100" s="53"/>
      <c r="C100" s="53" t="s">
        <v>403</v>
      </c>
      <c r="D100" s="34"/>
      <c r="E100" s="12"/>
      <c r="F100" s="35">
        <f>Source!AL45</f>
        <v>3424.38</v>
      </c>
      <c r="G100" s="36" t="str">
        <f>Source!DD45</f>
        <v/>
      </c>
      <c r="H100" s="37">
        <f>ROUND(Source!AC45*Source!I45, 2)</f>
        <v>3499.72</v>
      </c>
      <c r="I100" s="36"/>
      <c r="J100" s="36">
        <f>IF(Source!BC45&lt;&gt; 0, Source!BC45, 1)</f>
        <v>5.9</v>
      </c>
      <c r="K100" s="37">
        <f>Source!P45</f>
        <v>20648.330000000002</v>
      </c>
      <c r="L100" s="38"/>
    </row>
    <row r="101" spans="1:26" ht="14.25">
      <c r="A101" s="52"/>
      <c r="B101" s="53"/>
      <c r="C101" s="53" t="s">
        <v>398</v>
      </c>
      <c r="D101" s="34" t="s">
        <v>399</v>
      </c>
      <c r="E101" s="12">
        <f>Source!BZ45</f>
        <v>142</v>
      </c>
      <c r="F101" s="56"/>
      <c r="G101" s="36"/>
      <c r="H101" s="37">
        <f>SUM(S95:S104)</f>
        <v>889.93</v>
      </c>
      <c r="I101" s="40" t="str">
        <f>CONCATENATE(Source!FX45, Source!FV45, "=")</f>
        <v>142*0,85=</v>
      </c>
      <c r="J101" s="33">
        <f>Source!AT45</f>
        <v>121</v>
      </c>
      <c r="K101" s="37">
        <f>SUM(T95:T104)</f>
        <v>12466.78</v>
      </c>
      <c r="L101" s="38"/>
    </row>
    <row r="102" spans="1:26" ht="14.25">
      <c r="A102" s="52"/>
      <c r="B102" s="53"/>
      <c r="C102" s="53" t="s">
        <v>400</v>
      </c>
      <c r="D102" s="34" t="s">
        <v>399</v>
      </c>
      <c r="E102" s="12">
        <f>Source!CA45</f>
        <v>95</v>
      </c>
      <c r="F102" s="59" t="str">
        <f>CONCATENATE(" )", Source!DM45, Source!FU45, "=", Source!FY45)</f>
        <v xml:space="preserve"> )*0,85=80,75</v>
      </c>
      <c r="G102" s="65"/>
      <c r="H102" s="37">
        <f>SUM(U95:U104)</f>
        <v>506.07</v>
      </c>
      <c r="I102" s="40" t="str">
        <f>CONCATENATE(Source!FY45, Source!FW45, "=")</f>
        <v>80,75*0,8=</v>
      </c>
      <c r="J102" s="33">
        <f>Source!AU45</f>
        <v>65</v>
      </c>
      <c r="K102" s="37">
        <f>SUM(V95:V104)</f>
        <v>6697.03</v>
      </c>
      <c r="L102" s="38"/>
    </row>
    <row r="103" spans="1:26" ht="14.25">
      <c r="A103" s="52"/>
      <c r="B103" s="53"/>
      <c r="C103" s="53" t="s">
        <v>401</v>
      </c>
      <c r="D103" s="34" t="s">
        <v>402</v>
      </c>
      <c r="E103" s="12">
        <f>Source!AQ45</f>
        <v>76.08</v>
      </c>
      <c r="F103" s="35"/>
      <c r="G103" s="36" t="str">
        <f>Source!DI45</f>
        <v>)*1,15</v>
      </c>
      <c r="H103" s="37"/>
      <c r="I103" s="36"/>
      <c r="J103" s="36"/>
      <c r="K103" s="37"/>
      <c r="L103" s="49">
        <f>Source!U45</f>
        <v>89.416823999999991</v>
      </c>
    </row>
    <row r="104" spans="1:26" ht="42.75">
      <c r="A104" s="54" t="str">
        <f>Source!E47</f>
        <v>8,1</v>
      </c>
      <c r="B104" s="55" t="str">
        <f>Source!F47</f>
        <v>403-8023</v>
      </c>
      <c r="C104" s="55" t="str">
        <f>Source!G47</f>
        <v>Камни бортовые БР 100.20.8 /бетон В22,5 (М300), объем 0,016 м3/ (ГОСТ 6665-91)</v>
      </c>
      <c r="D104" s="41" t="str">
        <f>Source!H47</f>
        <v>шт.</v>
      </c>
      <c r="E104" s="42">
        <f>Source!I47</f>
        <v>103</v>
      </c>
      <c r="F104" s="43">
        <f>Source!AL47+Source!AM47+Source!AO47</f>
        <v>20.71</v>
      </c>
      <c r="G104" s="50" t="s">
        <v>3</v>
      </c>
      <c r="H104" s="45">
        <f>ROUND(Source!AC47*Source!I47, 2)+ROUND(Source!AD47*Source!I47, 2)+ROUND(Source!AF47*Source!I47, 2)</f>
        <v>2133.13</v>
      </c>
      <c r="I104" s="44"/>
      <c r="J104" s="44">
        <f>IF(Source!BC47&lt;&gt; 0, Source!BC47, 1)</f>
        <v>5.9</v>
      </c>
      <c r="K104" s="45">
        <f>Source!O47</f>
        <v>12585.47</v>
      </c>
      <c r="L104" s="48"/>
      <c r="S104">
        <f>ROUND((Source!FX47/100)*((ROUND(Source!AF47*Source!I47, 2)+ROUND(Source!AE47*Source!I47, 2))), 2)</f>
        <v>0</v>
      </c>
      <c r="T104">
        <f>Source!X47</f>
        <v>0</v>
      </c>
      <c r="U104">
        <f>ROUND((Source!FY47/100)*((ROUND(Source!AF47*Source!I47, 2)+ROUND(Source!AE47*Source!I47, 2))), 2)</f>
        <v>0</v>
      </c>
      <c r="V104">
        <f>Source!Y47</f>
        <v>0</v>
      </c>
      <c r="W104">
        <f>IF(Source!BI47&lt;=1,H104, 0)</f>
        <v>2133.13</v>
      </c>
      <c r="X104">
        <f>IF(Source!BI47=2,H104, 0)</f>
        <v>0</v>
      </c>
      <c r="Y104">
        <f>IF(Source!BI47=3,H104, 0)</f>
        <v>0</v>
      </c>
      <c r="Z104">
        <f>IF(Source!BI47=4,H104, 0)</f>
        <v>0</v>
      </c>
    </row>
    <row r="105" spans="1:26" ht="15">
      <c r="G105" s="73">
        <f>H97+H98+H100+H101+H102+SUM(H104:H104)</f>
        <v>7745.54</v>
      </c>
      <c r="H105" s="73"/>
      <c r="J105" s="73">
        <f>K97+K98+K100+K101+K102+SUM(K104:K104)</f>
        <v>63141.590000000004</v>
      </c>
      <c r="K105" s="73"/>
      <c r="L105" s="47">
        <f>Source!U45</f>
        <v>89.416823999999991</v>
      </c>
      <c r="O105" s="29">
        <f>G105</f>
        <v>7745.54</v>
      </c>
      <c r="P105" s="29">
        <f>J105</f>
        <v>63141.590000000004</v>
      </c>
      <c r="Q105" s="29">
        <f>L105</f>
        <v>89.416823999999991</v>
      </c>
      <c r="W105">
        <f>IF(Source!BI45&lt;=1,H97+H98+H100+H101+H102, 0)</f>
        <v>5612.41</v>
      </c>
      <c r="X105">
        <f>IF(Source!BI45=2,H97+H98+H100+H101+H102, 0)</f>
        <v>0</v>
      </c>
      <c r="Y105">
        <f>IF(Source!BI45=3,H97+H98+H100+H101+H102, 0)</f>
        <v>0</v>
      </c>
      <c r="Z105">
        <f>IF(Source!BI45=4,H97+H98+H100+H101+H102, 0)</f>
        <v>0</v>
      </c>
    </row>
    <row r="106" spans="1:26" ht="28.5">
      <c r="A106" s="52" t="str">
        <f>Source!E49</f>
        <v>9</v>
      </c>
      <c r="B106" s="53" t="str">
        <f>Source!F49</f>
        <v>01-02-061-2</v>
      </c>
      <c r="C106" s="53" t="str">
        <f>Source!G49</f>
        <v>Засыпка вручную траншей, пазух котлованов и ям, группа грунтов: 2</v>
      </c>
      <c r="D106" s="34" t="str">
        <f>Source!H49</f>
        <v>100 м3 грунта</v>
      </c>
      <c r="E106" s="12">
        <f>Source!I49</f>
        <v>0.02</v>
      </c>
      <c r="F106" s="35">
        <f>Source!AL49+Source!AM49+Source!AO49</f>
        <v>592.91999999999996</v>
      </c>
      <c r="G106" s="36"/>
      <c r="H106" s="37"/>
      <c r="I106" s="36" t="str">
        <f>Source!BO49</f>
        <v/>
      </c>
      <c r="J106" s="36"/>
      <c r="K106" s="37"/>
      <c r="L106" s="38"/>
      <c r="S106">
        <f>ROUND((Source!FX49/100)*((ROUND(Source!AF49*Source!I49, 2)+ROUND(Source!AE49*Source!I49, 2))), 2)</f>
        <v>10.91</v>
      </c>
      <c r="T106">
        <f>Source!X49</f>
        <v>152.44999999999999</v>
      </c>
      <c r="U106">
        <f>ROUND((Source!FY49/100)*((ROUND(Source!AF49*Source!I49, 2)+ROUND(Source!AE49*Source!I49, 2))), 2)</f>
        <v>5.22</v>
      </c>
      <c r="V106">
        <f>Source!Y49</f>
        <v>69.5</v>
      </c>
    </row>
    <row r="107" spans="1:26">
      <c r="C107" s="28" t="str">
        <f>"Объем: "&amp;Source!I49&amp;"=2/"&amp;"100"</f>
        <v>Объем: 0,02=2/100</v>
      </c>
    </row>
    <row r="108" spans="1:26" ht="14.25">
      <c r="A108" s="52"/>
      <c r="B108" s="53"/>
      <c r="C108" s="53" t="s">
        <v>396</v>
      </c>
      <c r="D108" s="34"/>
      <c r="E108" s="12"/>
      <c r="F108" s="35">
        <f>Source!AO49</f>
        <v>592.91999999999996</v>
      </c>
      <c r="G108" s="36" t="str">
        <f>Source!DG49</f>
        <v>)*1,15</v>
      </c>
      <c r="H108" s="37">
        <f>ROUND(Source!AF49*Source!I49, 2)</f>
        <v>13.64</v>
      </c>
      <c r="I108" s="36"/>
      <c r="J108" s="36">
        <f>IF(Source!BA49&lt;&gt; 0, Source!BA49, 1)</f>
        <v>16.440000000000001</v>
      </c>
      <c r="K108" s="37">
        <f>Source!S49</f>
        <v>224.19</v>
      </c>
      <c r="L108" s="38"/>
      <c r="R108">
        <f>H108</f>
        <v>13.64</v>
      </c>
    </row>
    <row r="109" spans="1:26" ht="14.25">
      <c r="A109" s="52"/>
      <c r="B109" s="53"/>
      <c r="C109" s="53" t="s">
        <v>398</v>
      </c>
      <c r="D109" s="34" t="s">
        <v>399</v>
      </c>
      <c r="E109" s="12">
        <f>Source!BZ49</f>
        <v>80</v>
      </c>
      <c r="F109" s="56"/>
      <c r="G109" s="36"/>
      <c r="H109" s="37">
        <f>SUM(S106:S111)</f>
        <v>10.91</v>
      </c>
      <c r="I109" s="40" t="str">
        <f>CONCATENATE(Source!FX49, Source!FV49, "=")</f>
        <v>80*0,85=</v>
      </c>
      <c r="J109" s="33">
        <f>Source!AT49</f>
        <v>68</v>
      </c>
      <c r="K109" s="37">
        <f>SUM(T106:T111)</f>
        <v>152.44999999999999</v>
      </c>
      <c r="L109" s="38"/>
    </row>
    <row r="110" spans="1:26" ht="14.25">
      <c r="A110" s="52"/>
      <c r="B110" s="53"/>
      <c r="C110" s="53" t="s">
        <v>400</v>
      </c>
      <c r="D110" s="34" t="s">
        <v>399</v>
      </c>
      <c r="E110" s="12">
        <f>Source!CA49</f>
        <v>45</v>
      </c>
      <c r="F110" s="59" t="str">
        <f>CONCATENATE(" )", Source!DM49, Source!FU49, "=", Source!FY49)</f>
        <v xml:space="preserve"> )*0,85=38,25</v>
      </c>
      <c r="G110" s="65"/>
      <c r="H110" s="37">
        <f>SUM(U106:U111)</f>
        <v>5.22</v>
      </c>
      <c r="I110" s="40" t="str">
        <f>CONCATENATE(Source!FY49, Source!FW49, "=")</f>
        <v>38,25*0,8=</v>
      </c>
      <c r="J110" s="33">
        <f>Source!AU49</f>
        <v>31</v>
      </c>
      <c r="K110" s="37">
        <f>SUM(V106:V111)</f>
        <v>69.5</v>
      </c>
      <c r="L110" s="38"/>
    </row>
    <row r="111" spans="1:26" ht="14.25">
      <c r="A111" s="54"/>
      <c r="B111" s="55"/>
      <c r="C111" s="55" t="s">
        <v>401</v>
      </c>
      <c r="D111" s="41" t="s">
        <v>402</v>
      </c>
      <c r="E111" s="42">
        <f>Source!AQ49</f>
        <v>97.2</v>
      </c>
      <c r="F111" s="43"/>
      <c r="G111" s="44" t="str">
        <f>Source!DI49</f>
        <v>)*1,15</v>
      </c>
      <c r="H111" s="45"/>
      <c r="I111" s="44"/>
      <c r="J111" s="44"/>
      <c r="K111" s="45"/>
      <c r="L111" s="46">
        <f>Source!U49</f>
        <v>2.2356000000000003</v>
      </c>
    </row>
    <row r="112" spans="1:26" ht="15">
      <c r="G112" s="73">
        <f>H108+H109+H110</f>
        <v>29.77</v>
      </c>
      <c r="H112" s="73"/>
      <c r="J112" s="73">
        <f>K108+K109+K110</f>
        <v>446.14</v>
      </c>
      <c r="K112" s="73"/>
      <c r="L112" s="47">
        <f>Source!U49</f>
        <v>2.2356000000000003</v>
      </c>
      <c r="O112" s="29">
        <f>G112</f>
        <v>29.77</v>
      </c>
      <c r="P112" s="29">
        <f>J112</f>
        <v>446.14</v>
      </c>
      <c r="Q112" s="29">
        <f>L112</f>
        <v>2.2356000000000003</v>
      </c>
      <c r="W112">
        <f>IF(Source!BI49&lt;=1,H108+H109+H110, 0)</f>
        <v>29.77</v>
      </c>
      <c r="X112">
        <f>IF(Source!BI49=2,H108+H109+H110, 0)</f>
        <v>0</v>
      </c>
      <c r="Y112">
        <f>IF(Source!BI49=3,H108+H109+H110, 0)</f>
        <v>0</v>
      </c>
      <c r="Z112">
        <f>IF(Source!BI49=4,H108+H109+H110, 0)</f>
        <v>0</v>
      </c>
    </row>
    <row r="113" spans="1:26" ht="42.75">
      <c r="A113" s="52" t="str">
        <f>Source!E51</f>
        <v>10</v>
      </c>
      <c r="B113" s="53" t="str">
        <f>Source!F51</f>
        <v>27-07-003-2</v>
      </c>
      <c r="C113" s="53" t="str">
        <f>Source!G51</f>
        <v>Устройство бетонных плитных тротуаров с заполнением швов: песком</v>
      </c>
      <c r="D113" s="34" t="str">
        <f>Source!H51</f>
        <v>100 м2 тротуара</v>
      </c>
      <c r="E113" s="12">
        <f>Source!I51</f>
        <v>4.8514999999999997</v>
      </c>
      <c r="F113" s="35">
        <f>Source!AL51+Source!AM51+Source!AO51</f>
        <v>8521.65</v>
      </c>
      <c r="G113" s="36"/>
      <c r="H113" s="37"/>
      <c r="I113" s="36" t="str">
        <f>Source!BO51</f>
        <v/>
      </c>
      <c r="J113" s="36"/>
      <c r="K113" s="37"/>
      <c r="L113" s="38"/>
      <c r="S113">
        <f>ROUND((Source!FX51/100)*((ROUND(Source!AF51*Source!I51, 2)+ROUND(Source!AE51*Source!I51, 2))), 2)</f>
        <v>2281.54</v>
      </c>
      <c r="T113">
        <f>Source!X51</f>
        <v>31961.41</v>
      </c>
      <c r="U113">
        <f>ROUND((Source!FY51/100)*((ROUND(Source!AF51*Source!I51, 2)+ROUND(Source!AE51*Source!I51, 2))), 2)</f>
        <v>1297.43</v>
      </c>
      <c r="V113">
        <f>Source!Y51</f>
        <v>17169.349999999999</v>
      </c>
    </row>
    <row r="114" spans="1:26">
      <c r="C114" s="28" t="str">
        <f>"Объем: "&amp;Source!I51&amp;"=485,15/"&amp;"100"</f>
        <v>Объем: 4,8515=485,15/100</v>
      </c>
    </row>
    <row r="115" spans="1:26" ht="14.25">
      <c r="A115" s="52"/>
      <c r="B115" s="53"/>
      <c r="C115" s="53" t="s">
        <v>396</v>
      </c>
      <c r="D115" s="34"/>
      <c r="E115" s="12"/>
      <c r="F115" s="35">
        <f>Source!AO51</f>
        <v>281.95999999999998</v>
      </c>
      <c r="G115" s="36" t="str">
        <f>Source!DG51</f>
        <v>)*1,15</v>
      </c>
      <c r="H115" s="37">
        <f>ROUND(Source!AF51*Source!I51, 2)</f>
        <v>1573.12</v>
      </c>
      <c r="I115" s="36"/>
      <c r="J115" s="36">
        <f>IF(Source!BA51&lt;&gt; 0, Source!BA51, 1)</f>
        <v>16.440000000000001</v>
      </c>
      <c r="K115" s="37">
        <f>Source!S51</f>
        <v>25862.06</v>
      </c>
      <c r="L115" s="38"/>
      <c r="R115">
        <f>H115</f>
        <v>1573.12</v>
      </c>
    </row>
    <row r="116" spans="1:26" ht="14.25">
      <c r="A116" s="52"/>
      <c r="B116" s="53"/>
      <c r="C116" s="53" t="s">
        <v>160</v>
      </c>
      <c r="D116" s="34"/>
      <c r="E116" s="12"/>
      <c r="F116" s="35">
        <f>Source!AM51</f>
        <v>402.98</v>
      </c>
      <c r="G116" s="36" t="str">
        <f>Source!DE51</f>
        <v>)*1,25</v>
      </c>
      <c r="H116" s="37">
        <f>ROUND(Source!AD51*Source!I51, 2)</f>
        <v>2443.8200000000002</v>
      </c>
      <c r="I116" s="36"/>
      <c r="J116" s="36">
        <f>IF(Source!BB51&lt;&gt; 0, Source!BB51, 1)</f>
        <v>6.21</v>
      </c>
      <c r="K116" s="37">
        <f>Source!Q51</f>
        <v>15176.13</v>
      </c>
      <c r="L116" s="38"/>
    </row>
    <row r="117" spans="1:26" ht="14.25">
      <c r="A117" s="52"/>
      <c r="B117" s="53"/>
      <c r="C117" s="53" t="s">
        <v>397</v>
      </c>
      <c r="D117" s="34"/>
      <c r="E117" s="12"/>
      <c r="F117" s="35">
        <f>Source!AN51</f>
        <v>5.54</v>
      </c>
      <c r="G117" s="36" t="str">
        <f>Source!DF51</f>
        <v>)*1,25</v>
      </c>
      <c r="H117" s="39">
        <f>ROUND(Source!AE51*Source!I51, 2)</f>
        <v>33.6</v>
      </c>
      <c r="I117" s="36"/>
      <c r="J117" s="36">
        <f>IF(Source!BS51&lt;&gt; 0, Source!BS51, 1)</f>
        <v>16.440000000000001</v>
      </c>
      <c r="K117" s="39">
        <f>Source!R51</f>
        <v>552.33000000000004</v>
      </c>
      <c r="L117" s="38"/>
      <c r="R117">
        <f>H117</f>
        <v>33.6</v>
      </c>
    </row>
    <row r="118" spans="1:26" ht="14.25">
      <c r="A118" s="52"/>
      <c r="B118" s="53"/>
      <c r="C118" s="53" t="s">
        <v>403</v>
      </c>
      <c r="D118" s="34"/>
      <c r="E118" s="12"/>
      <c r="F118" s="35">
        <f>Source!AL51</f>
        <v>7836.71</v>
      </c>
      <c r="G118" s="36" t="str">
        <f>Source!DD51</f>
        <v/>
      </c>
      <c r="H118" s="37">
        <f>ROUND(Source!AC51*Source!I51, 2)</f>
        <v>38019.800000000003</v>
      </c>
      <c r="I118" s="36"/>
      <c r="J118" s="36">
        <f>IF(Source!BC51&lt;&gt; 0, Source!BC51, 1)</f>
        <v>5.9</v>
      </c>
      <c r="K118" s="37">
        <f>Source!P51</f>
        <v>224316.81</v>
      </c>
      <c r="L118" s="38"/>
    </row>
    <row r="119" spans="1:26" ht="14.25">
      <c r="A119" s="52"/>
      <c r="B119" s="53"/>
      <c r="C119" s="53" t="s">
        <v>398</v>
      </c>
      <c r="D119" s="34" t="s">
        <v>399</v>
      </c>
      <c r="E119" s="12">
        <f>Source!BZ51</f>
        <v>142</v>
      </c>
      <c r="F119" s="56"/>
      <c r="G119" s="36"/>
      <c r="H119" s="37">
        <f>SUM(S113:S123)</f>
        <v>2281.54</v>
      </c>
      <c r="I119" s="40" t="str">
        <f>CONCATENATE(Source!FX51, Source!FV51, "=")</f>
        <v>142*0,85=</v>
      </c>
      <c r="J119" s="33">
        <f>Source!AT51</f>
        <v>121</v>
      </c>
      <c r="K119" s="37">
        <f>SUM(T113:T123)</f>
        <v>31961.41</v>
      </c>
      <c r="L119" s="38"/>
    </row>
    <row r="120" spans="1:26" ht="14.25">
      <c r="A120" s="52"/>
      <c r="B120" s="53"/>
      <c r="C120" s="53" t="s">
        <v>400</v>
      </c>
      <c r="D120" s="34" t="s">
        <v>399</v>
      </c>
      <c r="E120" s="12">
        <f>Source!CA51</f>
        <v>95</v>
      </c>
      <c r="F120" s="59" t="str">
        <f>CONCATENATE(" )", Source!DM51, Source!FU51, "=", Source!FY51)</f>
        <v xml:space="preserve"> )*0,85=80,75</v>
      </c>
      <c r="G120" s="65"/>
      <c r="H120" s="37">
        <f>SUM(U113:U123)</f>
        <v>1297.43</v>
      </c>
      <c r="I120" s="40" t="str">
        <f>CONCATENATE(Source!FY51, Source!FW51, "=")</f>
        <v>80,75*0,8=</v>
      </c>
      <c r="J120" s="33">
        <f>Source!AU51</f>
        <v>65</v>
      </c>
      <c r="K120" s="37">
        <f>SUM(V113:V123)</f>
        <v>17169.349999999999</v>
      </c>
      <c r="L120" s="38"/>
    </row>
    <row r="121" spans="1:26" ht="14.25">
      <c r="A121" s="52"/>
      <c r="B121" s="53"/>
      <c r="C121" s="53" t="s">
        <v>401</v>
      </c>
      <c r="D121" s="34" t="s">
        <v>402</v>
      </c>
      <c r="E121" s="12">
        <f>Source!AQ51</f>
        <v>42.4</v>
      </c>
      <c r="F121" s="35"/>
      <c r="G121" s="36" t="str">
        <f>Source!DI51</f>
        <v>)*1,15</v>
      </c>
      <c r="H121" s="37"/>
      <c r="I121" s="36"/>
      <c r="J121" s="36"/>
      <c r="K121" s="37"/>
      <c r="L121" s="49">
        <f>Source!U51</f>
        <v>236.55913999999999</v>
      </c>
    </row>
    <row r="122" spans="1:26" ht="42.75">
      <c r="A122" s="52" t="str">
        <f>Source!E53</f>
        <v>10,1</v>
      </c>
      <c r="B122" s="53" t="str">
        <f>Source!F53</f>
        <v>403-0104</v>
      </c>
      <c r="C122" s="53" t="str">
        <f>Source!G53</f>
        <v>Плиты бетонные и цементно-песчаные для тротуаров, полов и облицовки, марки 300, толщина 35 мм</v>
      </c>
      <c r="D122" s="34" t="str">
        <f>Source!H53</f>
        <v>м2</v>
      </c>
      <c r="E122" s="12">
        <f>Source!I53</f>
        <v>-485.15</v>
      </c>
      <c r="F122" s="35">
        <f>Source!AL53+Source!AM53+Source!AO53</f>
        <v>65.349999999999994</v>
      </c>
      <c r="G122" s="51" t="s">
        <v>3</v>
      </c>
      <c r="H122" s="37">
        <f>ROUND(Source!AC53*Source!I53, 2)+ROUND(Source!AD53*Source!I53, 2)+ROUND(Source!AF53*Source!I53, 2)</f>
        <v>-31704.55</v>
      </c>
      <c r="I122" s="36"/>
      <c r="J122" s="36">
        <f>IF(Source!BC53&lt;&gt; 0, Source!BC53, 1)</f>
        <v>5.9</v>
      </c>
      <c r="K122" s="37">
        <f>Source!O53</f>
        <v>-187056.86</v>
      </c>
      <c r="L122" s="38"/>
      <c r="S122">
        <f>ROUND((Source!FX53/100)*((ROUND(Source!AF53*Source!I53, 2)+ROUND(Source!AE53*Source!I53, 2))), 2)</f>
        <v>0</v>
      </c>
      <c r="T122">
        <f>Source!X53</f>
        <v>0</v>
      </c>
      <c r="U122">
        <f>ROUND((Source!FY53/100)*((ROUND(Source!AF53*Source!I53, 2)+ROUND(Source!AE53*Source!I53, 2))), 2)</f>
        <v>0</v>
      </c>
      <c r="V122">
        <f>Source!Y53</f>
        <v>0</v>
      </c>
      <c r="W122">
        <f>IF(Source!BI53&lt;=1,H122, 0)</f>
        <v>-31704.55</v>
      </c>
      <c r="X122">
        <f>IF(Source!BI53=2,H122, 0)</f>
        <v>0</v>
      </c>
      <c r="Y122">
        <f>IF(Source!BI53=3,H122, 0)</f>
        <v>0</v>
      </c>
      <c r="Z122">
        <f>IF(Source!BI53=4,H122, 0)</f>
        <v>0</v>
      </c>
    </row>
    <row r="123" spans="1:26" ht="42.75">
      <c r="A123" s="54" t="str">
        <f>Source!E55</f>
        <v>10,2</v>
      </c>
      <c r="B123" s="55" t="str">
        <f>Source!F55</f>
        <v>403-8723</v>
      </c>
      <c r="C123" s="55" t="str">
        <f>Source!G55</f>
        <v>Плитка тротуарная декоративная (брусчатка) "ВОЛНА", толщина 60 мм, серая</v>
      </c>
      <c r="D123" s="41" t="str">
        <f>Source!H55</f>
        <v>м2</v>
      </c>
      <c r="E123" s="42">
        <f>Source!I55</f>
        <v>485.15</v>
      </c>
      <c r="F123" s="43">
        <f>Source!AL55+Source!AM55+Source!AO55</f>
        <v>90.22</v>
      </c>
      <c r="G123" s="50" t="s">
        <v>3</v>
      </c>
      <c r="H123" s="45">
        <f>ROUND(Source!AC55*Source!I55, 2)+ROUND(Source!AD55*Source!I55, 2)+ROUND(Source!AF55*Source!I55, 2)</f>
        <v>43770.23</v>
      </c>
      <c r="I123" s="44"/>
      <c r="J123" s="44">
        <f>IF(Source!BC55&lt;&gt; 0, Source!BC55, 1)</f>
        <v>5.9</v>
      </c>
      <c r="K123" s="45">
        <f>Source!O55</f>
        <v>258244.37</v>
      </c>
      <c r="L123" s="48"/>
      <c r="S123">
        <f>ROUND((Source!FX55/100)*((ROUND(Source!AF55*Source!I55, 2)+ROUND(Source!AE55*Source!I55, 2))), 2)</f>
        <v>0</v>
      </c>
      <c r="T123">
        <f>Source!X55</f>
        <v>0</v>
      </c>
      <c r="U123">
        <f>ROUND((Source!FY55/100)*((ROUND(Source!AF55*Source!I55, 2)+ROUND(Source!AE55*Source!I55, 2))), 2)</f>
        <v>0</v>
      </c>
      <c r="V123">
        <f>Source!Y55</f>
        <v>0</v>
      </c>
      <c r="W123">
        <f>IF(Source!BI55&lt;=1,H123, 0)</f>
        <v>43770.23</v>
      </c>
      <c r="X123">
        <f>IF(Source!BI55=2,H123, 0)</f>
        <v>0</v>
      </c>
      <c r="Y123">
        <f>IF(Source!BI55=3,H123, 0)</f>
        <v>0</v>
      </c>
      <c r="Z123">
        <f>IF(Source!BI55=4,H123, 0)</f>
        <v>0</v>
      </c>
    </row>
    <row r="124" spans="1:26" ht="15">
      <c r="G124" s="73">
        <f>H115+H116+H118+H119+H120+SUM(H122:H123)</f>
        <v>57681.390000000014</v>
      </c>
      <c r="H124" s="73"/>
      <c r="J124" s="73">
        <f>K115+K116+K118+K119+K120+SUM(K122:K123)</f>
        <v>385673.26999999996</v>
      </c>
      <c r="K124" s="73"/>
      <c r="L124" s="47">
        <f>Source!U51</f>
        <v>236.55913999999999</v>
      </c>
      <c r="O124" s="29">
        <f>G124</f>
        <v>57681.390000000014</v>
      </c>
      <c r="P124" s="29">
        <f>J124</f>
        <v>385673.26999999996</v>
      </c>
      <c r="Q124" s="29">
        <f>L124</f>
        <v>236.55913999999999</v>
      </c>
      <c r="W124">
        <f>IF(Source!BI51&lt;=1,H115+H116+H118+H119+H120, 0)</f>
        <v>45615.710000000006</v>
      </c>
      <c r="X124">
        <f>IF(Source!BI51=2,H115+H116+H118+H119+H120, 0)</f>
        <v>0</v>
      </c>
      <c r="Y124">
        <f>IF(Source!BI51=3,H115+H116+H118+H119+H120, 0)</f>
        <v>0</v>
      </c>
      <c r="Z124">
        <f>IF(Source!BI51=4,H115+H116+H118+H119+H120, 0)</f>
        <v>0</v>
      </c>
    </row>
    <row r="125" spans="1:26" ht="57">
      <c r="A125" s="52" t="str">
        <f>Source!E57</f>
        <v>11</v>
      </c>
      <c r="B125" s="53" t="str">
        <f>Source!F57</f>
        <v>01-02-027-5</v>
      </c>
      <c r="C125" s="53" t="str">
        <f>Source!G57</f>
        <v>Планировка площадей: ручным способом, группа грунтов 2</v>
      </c>
      <c r="D125" s="34" t="str">
        <f>Source!H57</f>
        <v>1000 м2 спланированной площади</v>
      </c>
      <c r="E125" s="12">
        <f>Source!I57</f>
        <v>0.25</v>
      </c>
      <c r="F125" s="35">
        <f>Source!AL57+Source!AM57+Source!AO57</f>
        <v>853.62</v>
      </c>
      <c r="G125" s="36"/>
      <c r="H125" s="37"/>
      <c r="I125" s="36" t="str">
        <f>Source!BO57</f>
        <v/>
      </c>
      <c r="J125" s="36"/>
      <c r="K125" s="37"/>
      <c r="L125" s="38"/>
      <c r="S125">
        <f>ROUND((Source!FX57/100)*((ROUND(Source!AF57*Source!I57, 2)+ROUND(Source!AE57*Source!I57, 2))), 2)</f>
        <v>196.34</v>
      </c>
      <c r="T125">
        <f>Source!X57</f>
        <v>2743.55</v>
      </c>
      <c r="U125">
        <f>ROUND((Source!FY57/100)*((ROUND(Source!AF57*Source!I57, 2)+ROUND(Source!AE57*Source!I57, 2))), 2)</f>
        <v>93.87</v>
      </c>
      <c r="V125">
        <f>Source!Y57</f>
        <v>1250.74</v>
      </c>
    </row>
    <row r="126" spans="1:26">
      <c r="C126" s="28" t="str">
        <f>"Объем: "&amp;Source!I57&amp;"=250/"&amp;"1000"</f>
        <v>Объем: 0,25=250/1000</v>
      </c>
    </row>
    <row r="127" spans="1:26" ht="14.25">
      <c r="A127" s="52"/>
      <c r="B127" s="53"/>
      <c r="C127" s="53" t="s">
        <v>396</v>
      </c>
      <c r="D127" s="34"/>
      <c r="E127" s="12"/>
      <c r="F127" s="35">
        <f>Source!AO57</f>
        <v>853.62</v>
      </c>
      <c r="G127" s="36" t="str">
        <f>Source!DG57</f>
        <v>)*1,15</v>
      </c>
      <c r="H127" s="37">
        <f>ROUND(Source!AF57*Source!I57, 2)</f>
        <v>245.42</v>
      </c>
      <c r="I127" s="36"/>
      <c r="J127" s="36">
        <f>IF(Source!BA57&lt;&gt; 0, Source!BA57, 1)</f>
        <v>16.440000000000001</v>
      </c>
      <c r="K127" s="37">
        <f>Source!S57</f>
        <v>4034.63</v>
      </c>
      <c r="L127" s="38"/>
      <c r="R127">
        <f>H127</f>
        <v>245.42</v>
      </c>
    </row>
    <row r="128" spans="1:26" ht="14.25">
      <c r="A128" s="52"/>
      <c r="B128" s="53"/>
      <c r="C128" s="53" t="s">
        <v>398</v>
      </c>
      <c r="D128" s="34" t="s">
        <v>399</v>
      </c>
      <c r="E128" s="12">
        <f>Source!BZ57</f>
        <v>80</v>
      </c>
      <c r="F128" s="56"/>
      <c r="G128" s="36"/>
      <c r="H128" s="37">
        <f>SUM(S125:S130)</f>
        <v>196.34</v>
      </c>
      <c r="I128" s="40" t="str">
        <f>CONCATENATE(Source!FX57, Source!FV57, "=")</f>
        <v>80*0,85=</v>
      </c>
      <c r="J128" s="33">
        <f>Source!AT57</f>
        <v>68</v>
      </c>
      <c r="K128" s="37">
        <f>SUM(T125:T130)</f>
        <v>2743.55</v>
      </c>
      <c r="L128" s="38"/>
    </row>
    <row r="129" spans="1:26" ht="14.25">
      <c r="A129" s="52"/>
      <c r="B129" s="53"/>
      <c r="C129" s="53" t="s">
        <v>400</v>
      </c>
      <c r="D129" s="34" t="s">
        <v>399</v>
      </c>
      <c r="E129" s="12">
        <f>Source!CA57</f>
        <v>45</v>
      </c>
      <c r="F129" s="59" t="str">
        <f>CONCATENATE(" )", Source!DM57, Source!FU57, "=", Source!FY57)</f>
        <v xml:space="preserve"> )*0,85=38,25</v>
      </c>
      <c r="G129" s="65"/>
      <c r="H129" s="37">
        <f>SUM(U125:U130)</f>
        <v>93.87</v>
      </c>
      <c r="I129" s="40" t="str">
        <f>CONCATENATE(Source!FY57, Source!FW57, "=")</f>
        <v>38,25*0,8=</v>
      </c>
      <c r="J129" s="33">
        <f>Source!AU57</f>
        <v>31</v>
      </c>
      <c r="K129" s="37">
        <f>SUM(V125:V130)</f>
        <v>1250.74</v>
      </c>
      <c r="L129" s="38"/>
    </row>
    <row r="130" spans="1:26" ht="14.25">
      <c r="A130" s="54"/>
      <c r="B130" s="55"/>
      <c r="C130" s="55" t="s">
        <v>401</v>
      </c>
      <c r="D130" s="41" t="s">
        <v>402</v>
      </c>
      <c r="E130" s="42">
        <f>Source!AQ57</f>
        <v>123</v>
      </c>
      <c r="F130" s="43"/>
      <c r="G130" s="44" t="str">
        <f>Source!DI57</f>
        <v>)*1,15</v>
      </c>
      <c r="H130" s="45"/>
      <c r="I130" s="44"/>
      <c r="J130" s="44"/>
      <c r="K130" s="45"/>
      <c r="L130" s="46">
        <f>Source!U57</f>
        <v>35.362499999999997</v>
      </c>
    </row>
    <row r="131" spans="1:26" ht="15">
      <c r="G131" s="73">
        <f>H127+H128+H129</f>
        <v>535.63</v>
      </c>
      <c r="H131" s="73"/>
      <c r="J131" s="73">
        <f>K127+K128+K129</f>
        <v>8028.92</v>
      </c>
      <c r="K131" s="73"/>
      <c r="L131" s="47">
        <f>Source!U57</f>
        <v>35.362499999999997</v>
      </c>
      <c r="O131" s="29">
        <f>G131</f>
        <v>535.63</v>
      </c>
      <c r="P131" s="29">
        <f>J131</f>
        <v>8028.92</v>
      </c>
      <c r="Q131" s="29">
        <f>L131</f>
        <v>35.362499999999997</v>
      </c>
      <c r="W131">
        <f>IF(Source!BI57&lt;=1,H127+H128+H129, 0)</f>
        <v>535.63</v>
      </c>
      <c r="X131">
        <f>IF(Source!BI57=2,H127+H128+H129, 0)</f>
        <v>0</v>
      </c>
      <c r="Y131">
        <f>IF(Source!BI57=3,H127+H128+H129, 0)</f>
        <v>0</v>
      </c>
      <c r="Z131">
        <f>IF(Source!BI57=4,H127+H128+H129, 0)</f>
        <v>0</v>
      </c>
    </row>
    <row r="132" spans="1:26" ht="57">
      <c r="A132" s="52" t="str">
        <f>Source!E59</f>
        <v>12</v>
      </c>
      <c r="B132" s="53" t="str">
        <f>Source!F59</f>
        <v>47-01-046-4</v>
      </c>
      <c r="C132" s="53" t="str">
        <f>Source!G59</f>
        <v>Подготовка почвы для устройства партерного и обыкновенного газона с внесением растительной земли слоем 15 см: вручную</v>
      </c>
      <c r="D132" s="34" t="str">
        <f>Source!H59</f>
        <v>100 м2</v>
      </c>
      <c r="E132" s="12">
        <f>Source!I59</f>
        <v>2.5</v>
      </c>
      <c r="F132" s="35">
        <f>Source!AL59+Source!AM59+Source!AO59</f>
        <v>2146</v>
      </c>
      <c r="G132" s="36"/>
      <c r="H132" s="37"/>
      <c r="I132" s="36" t="str">
        <f>Source!BO59</f>
        <v/>
      </c>
      <c r="J132" s="36"/>
      <c r="K132" s="37"/>
      <c r="L132" s="38"/>
      <c r="S132">
        <f>ROUND((Source!FX59/100)*((ROUND(Source!AF59*Source!I59, 2)+ROUND(Source!AE59*Source!I59, 2))), 2)</f>
        <v>854.34</v>
      </c>
      <c r="T132">
        <f>Source!X59</f>
        <v>11969.01</v>
      </c>
      <c r="U132">
        <f>ROUND((Source!FY59/100)*((ROUND(Source!AF59*Source!I59, 2)+ROUND(Source!AE59*Source!I59, 2))), 2)</f>
        <v>568.32000000000005</v>
      </c>
      <c r="V132">
        <f>Source!Y59</f>
        <v>7450.1</v>
      </c>
    </row>
    <row r="133" spans="1:26">
      <c r="C133" s="28" t="str">
        <f>"Объем: "&amp;Source!I59&amp;"=250/"&amp;"100"</f>
        <v>Объем: 2,5=250/100</v>
      </c>
    </row>
    <row r="134" spans="1:26" ht="14.25">
      <c r="A134" s="52"/>
      <c r="B134" s="53"/>
      <c r="C134" s="53" t="s">
        <v>396</v>
      </c>
      <c r="D134" s="34"/>
      <c r="E134" s="12"/>
      <c r="F134" s="35">
        <f>Source!AO59</f>
        <v>258.39999999999998</v>
      </c>
      <c r="G134" s="36" t="str">
        <f>Source!DG59</f>
        <v>)*1,15</v>
      </c>
      <c r="H134" s="37">
        <f>ROUND(Source!AF59*Source!I59, 2)</f>
        <v>742.9</v>
      </c>
      <c r="I134" s="36"/>
      <c r="J134" s="36">
        <f>IF(Source!BA59&lt;&gt; 0, Source!BA59, 1)</f>
        <v>16.440000000000001</v>
      </c>
      <c r="K134" s="37">
        <f>Source!S59</f>
        <v>12213.28</v>
      </c>
      <c r="L134" s="38"/>
      <c r="R134">
        <f>H134</f>
        <v>742.9</v>
      </c>
    </row>
    <row r="135" spans="1:26" ht="14.25">
      <c r="A135" s="52"/>
      <c r="B135" s="53"/>
      <c r="C135" s="53" t="s">
        <v>403</v>
      </c>
      <c r="D135" s="34"/>
      <c r="E135" s="12"/>
      <c r="F135" s="35">
        <f>Source!AL59</f>
        <v>1887.6</v>
      </c>
      <c r="G135" s="36" t="str">
        <f>Source!DD59</f>
        <v/>
      </c>
      <c r="H135" s="37">
        <f>ROUND(Source!AC59*Source!I59, 2)</f>
        <v>4719</v>
      </c>
      <c r="I135" s="36"/>
      <c r="J135" s="36">
        <f>IF(Source!BC59&lt;&gt; 0, Source!BC59, 1)</f>
        <v>5.9</v>
      </c>
      <c r="K135" s="37">
        <f>Source!P59</f>
        <v>27842.1</v>
      </c>
      <c r="L135" s="38"/>
    </row>
    <row r="136" spans="1:26" ht="14.25">
      <c r="A136" s="52"/>
      <c r="B136" s="53"/>
      <c r="C136" s="53" t="s">
        <v>398</v>
      </c>
      <c r="D136" s="34" t="s">
        <v>399</v>
      </c>
      <c r="E136" s="12">
        <f>Source!BZ59</f>
        <v>115</v>
      </c>
      <c r="F136" s="56"/>
      <c r="G136" s="36"/>
      <c r="H136" s="37">
        <f>SUM(S132:S138)</f>
        <v>854.34</v>
      </c>
      <c r="I136" s="40" t="str">
        <f>CONCATENATE(Source!FX59, Source!FV59, "=")</f>
        <v>115*0,85=</v>
      </c>
      <c r="J136" s="33">
        <f>Source!AT59</f>
        <v>98</v>
      </c>
      <c r="K136" s="37">
        <f>SUM(T132:T138)</f>
        <v>11969.01</v>
      </c>
      <c r="L136" s="38"/>
    </row>
    <row r="137" spans="1:26" ht="14.25">
      <c r="A137" s="52"/>
      <c r="B137" s="53"/>
      <c r="C137" s="53" t="s">
        <v>400</v>
      </c>
      <c r="D137" s="34" t="s">
        <v>399</v>
      </c>
      <c r="E137" s="12">
        <f>Source!CA59</f>
        <v>90</v>
      </c>
      <c r="F137" s="59" t="str">
        <f>CONCATENATE(" )", Source!DM59, Source!FU59, "=", Source!FY59)</f>
        <v xml:space="preserve"> )*0,85=76,5</v>
      </c>
      <c r="G137" s="65"/>
      <c r="H137" s="37">
        <f>SUM(U132:U138)</f>
        <v>568.32000000000005</v>
      </c>
      <c r="I137" s="40" t="str">
        <f>CONCATENATE(Source!FY59, Source!FW59, "=")</f>
        <v>76,5*0,8=</v>
      </c>
      <c r="J137" s="33">
        <f>Source!AU59</f>
        <v>61</v>
      </c>
      <c r="K137" s="37">
        <f>SUM(V132:V138)</f>
        <v>7450.1</v>
      </c>
      <c r="L137" s="38"/>
    </row>
    <row r="138" spans="1:26" ht="14.25">
      <c r="A138" s="54"/>
      <c r="B138" s="55"/>
      <c r="C138" s="55" t="s">
        <v>401</v>
      </c>
      <c r="D138" s="41" t="s">
        <v>402</v>
      </c>
      <c r="E138" s="42">
        <f>Source!AQ59</f>
        <v>40</v>
      </c>
      <c r="F138" s="43"/>
      <c r="G138" s="44" t="str">
        <f>Source!DI59</f>
        <v>)*1,15</v>
      </c>
      <c r="H138" s="45"/>
      <c r="I138" s="44"/>
      <c r="J138" s="44"/>
      <c r="K138" s="45"/>
      <c r="L138" s="46">
        <f>Source!U59</f>
        <v>115</v>
      </c>
    </row>
    <row r="139" spans="1:26" ht="15">
      <c r="G139" s="73">
        <f>H134+H135+H136+H137</f>
        <v>6884.5599999999995</v>
      </c>
      <c r="H139" s="73"/>
      <c r="J139" s="73">
        <f>K134+K135+K136+K137</f>
        <v>59474.49</v>
      </c>
      <c r="K139" s="73"/>
      <c r="L139" s="47">
        <f>Source!U59</f>
        <v>115</v>
      </c>
      <c r="O139" s="29">
        <f>G139</f>
        <v>6884.5599999999995</v>
      </c>
      <c r="P139" s="29">
        <f>J139</f>
        <v>59474.49</v>
      </c>
      <c r="Q139" s="29">
        <f>L139</f>
        <v>115</v>
      </c>
      <c r="W139">
        <f>IF(Source!BI59&lt;=1,H134+H135+H136+H137, 0)</f>
        <v>6884.5599999999995</v>
      </c>
      <c r="X139">
        <f>IF(Source!BI59=2,H134+H135+H136+H137, 0)</f>
        <v>0</v>
      </c>
      <c r="Y139">
        <f>IF(Source!BI59=3,H134+H135+H136+H137, 0)</f>
        <v>0</v>
      </c>
      <c r="Z139">
        <f>IF(Source!BI59=4,H134+H135+H136+H137, 0)</f>
        <v>0</v>
      </c>
    </row>
    <row r="140" spans="1:26" ht="28.5">
      <c r="A140" s="52" t="str">
        <f>Source!E61</f>
        <v>13</v>
      </c>
      <c r="B140" s="53" t="str">
        <f>Source!F61</f>
        <v>47-02-093-2</v>
      </c>
      <c r="C140" s="53" t="str">
        <f>Source!G61</f>
        <v>Посев: многолетних трав</v>
      </c>
      <c r="D140" s="34" t="str">
        <f>Source!H61</f>
        <v>1 ГА</v>
      </c>
      <c r="E140" s="12">
        <f>Source!I61</f>
        <v>2.5000000000000001E-2</v>
      </c>
      <c r="F140" s="35">
        <f>Source!AL61+Source!AM61+Source!AO61</f>
        <v>61.29</v>
      </c>
      <c r="G140" s="36"/>
      <c r="H140" s="37"/>
      <c r="I140" s="36" t="str">
        <f>Source!BO61</f>
        <v/>
      </c>
      <c r="J140" s="36"/>
      <c r="K140" s="37"/>
      <c r="L140" s="38"/>
      <c r="S140">
        <f>ROUND((Source!FX61/100)*((ROUND(Source!AF61*Source!I61, 2)+ROUND(Source!AE61*Source!I61, 2))), 2)</f>
        <v>0.24</v>
      </c>
      <c r="T140">
        <f>Source!X61</f>
        <v>3.34</v>
      </c>
      <c r="U140">
        <f>ROUND((Source!FY61/100)*((ROUND(Source!AF61*Source!I61, 2)+ROUND(Source!AE61*Source!I61, 2))), 2)</f>
        <v>0.16</v>
      </c>
      <c r="V140">
        <f>Source!Y61</f>
        <v>2.08</v>
      </c>
    </row>
    <row r="141" spans="1:26" ht="14.25">
      <c r="A141" s="52"/>
      <c r="B141" s="53"/>
      <c r="C141" s="53" t="s">
        <v>160</v>
      </c>
      <c r="D141" s="34"/>
      <c r="E141" s="12"/>
      <c r="F141" s="35">
        <f>Source!AM61</f>
        <v>61.29</v>
      </c>
      <c r="G141" s="36" t="str">
        <f>Source!DE61</f>
        <v>)*1,25</v>
      </c>
      <c r="H141" s="37">
        <f>ROUND(Source!AD61*Source!I61, 2)</f>
        <v>1.92</v>
      </c>
      <c r="I141" s="36"/>
      <c r="J141" s="36">
        <f>IF(Source!BB61&lt;&gt; 0, Source!BB61, 1)</f>
        <v>6.21</v>
      </c>
      <c r="K141" s="37">
        <f>Source!Q61</f>
        <v>11.89</v>
      </c>
      <c r="L141" s="38"/>
    </row>
    <row r="142" spans="1:26" ht="14.25">
      <c r="A142" s="52"/>
      <c r="B142" s="53"/>
      <c r="C142" s="53" t="s">
        <v>397</v>
      </c>
      <c r="D142" s="34"/>
      <c r="E142" s="12"/>
      <c r="F142" s="35">
        <f>Source!AN61</f>
        <v>6.63</v>
      </c>
      <c r="G142" s="36" t="str">
        <f>Source!DF61</f>
        <v>)*1,25</v>
      </c>
      <c r="H142" s="39">
        <f>ROUND(Source!AE61*Source!I61, 2)</f>
        <v>0.21</v>
      </c>
      <c r="I142" s="36"/>
      <c r="J142" s="36">
        <f>IF(Source!BS61&lt;&gt; 0, Source!BS61, 1)</f>
        <v>16.440000000000001</v>
      </c>
      <c r="K142" s="39">
        <f>Source!R61</f>
        <v>3.41</v>
      </c>
      <c r="L142" s="38"/>
      <c r="R142">
        <f>H142</f>
        <v>0.21</v>
      </c>
    </row>
    <row r="143" spans="1:26" ht="14.25">
      <c r="A143" s="52"/>
      <c r="B143" s="53"/>
      <c r="C143" s="53" t="s">
        <v>398</v>
      </c>
      <c r="D143" s="34" t="s">
        <v>399</v>
      </c>
      <c r="E143" s="12">
        <f>Source!BZ61</f>
        <v>115</v>
      </c>
      <c r="F143" s="56"/>
      <c r="G143" s="36"/>
      <c r="H143" s="37">
        <f>SUM(S140:S145)</f>
        <v>0.24</v>
      </c>
      <c r="I143" s="40" t="str">
        <f>CONCATENATE(Source!FX61, Source!FV61, "=")</f>
        <v>115*0,85=</v>
      </c>
      <c r="J143" s="33">
        <f>Source!AT61</f>
        <v>98</v>
      </c>
      <c r="K143" s="37">
        <f>SUM(T140:T145)</f>
        <v>3.34</v>
      </c>
      <c r="L143" s="38"/>
    </row>
    <row r="144" spans="1:26" ht="14.25">
      <c r="A144" s="52"/>
      <c r="B144" s="53"/>
      <c r="C144" s="53" t="s">
        <v>400</v>
      </c>
      <c r="D144" s="34" t="s">
        <v>399</v>
      </c>
      <c r="E144" s="12">
        <f>Source!CA61</f>
        <v>90</v>
      </c>
      <c r="F144" s="59" t="str">
        <f>CONCATENATE(" )", Source!DM61, Source!FU61, "=", Source!FY61)</f>
        <v xml:space="preserve"> )*0,85=76,5</v>
      </c>
      <c r="G144" s="65"/>
      <c r="H144" s="37">
        <f>SUM(U140:U145)</f>
        <v>0.16</v>
      </c>
      <c r="I144" s="40" t="str">
        <f>CONCATENATE(Source!FY61, Source!FW61, "=")</f>
        <v>76,5*0,8=</v>
      </c>
      <c r="J144" s="33">
        <f>Source!AU61</f>
        <v>61</v>
      </c>
      <c r="K144" s="37">
        <f>SUM(V140:V145)</f>
        <v>2.08</v>
      </c>
      <c r="L144" s="38"/>
    </row>
    <row r="145" spans="1:26" ht="14.25">
      <c r="A145" s="54" t="str">
        <f>Source!E63</f>
        <v>13,1</v>
      </c>
      <c r="B145" s="55" t="str">
        <f>Source!F63</f>
        <v>414-0137</v>
      </c>
      <c r="C145" s="55" t="str">
        <f>Source!G63</f>
        <v>Семена газонных трав (смесь)</v>
      </c>
      <c r="D145" s="41" t="str">
        <f>Source!H63</f>
        <v>кг</v>
      </c>
      <c r="E145" s="42">
        <f>Source!I63</f>
        <v>6.25</v>
      </c>
      <c r="F145" s="43">
        <f>Source!AL63+Source!AM63+Source!AO63</f>
        <v>135.72999999999999</v>
      </c>
      <c r="G145" s="50" t="s">
        <v>3</v>
      </c>
      <c r="H145" s="45">
        <f>ROUND(Source!AC63*Source!I63, 2)+ROUND(Source!AD63*Source!I63, 2)+ROUND(Source!AF63*Source!I63, 2)</f>
        <v>848.31</v>
      </c>
      <c r="I145" s="44"/>
      <c r="J145" s="44">
        <f>IF(Source!BC63&lt;&gt; 0, Source!BC63, 1)</f>
        <v>5.9</v>
      </c>
      <c r="K145" s="45">
        <f>Source!O63</f>
        <v>5005.04</v>
      </c>
      <c r="L145" s="48"/>
      <c r="S145">
        <f>ROUND((Source!FX63/100)*((ROUND(Source!AF63*Source!I63, 2)+ROUND(Source!AE63*Source!I63, 2))), 2)</f>
        <v>0</v>
      </c>
      <c r="T145">
        <f>Source!X63</f>
        <v>0</v>
      </c>
      <c r="U145">
        <f>ROUND((Source!FY63/100)*((ROUND(Source!AF63*Source!I63, 2)+ROUND(Source!AE63*Source!I63, 2))), 2)</f>
        <v>0</v>
      </c>
      <c r="V145">
        <f>Source!Y63</f>
        <v>0</v>
      </c>
      <c r="W145">
        <f>IF(Source!BI63&lt;=1,H145, 0)</f>
        <v>848.31</v>
      </c>
      <c r="X145">
        <f>IF(Source!BI63=2,H145, 0)</f>
        <v>0</v>
      </c>
      <c r="Y145">
        <f>IF(Source!BI63=3,H145, 0)</f>
        <v>0</v>
      </c>
      <c r="Z145">
        <f>IF(Source!BI63=4,H145, 0)</f>
        <v>0</v>
      </c>
    </row>
    <row r="146" spans="1:26" ht="15">
      <c r="G146" s="73">
        <f>H141+H143+H144+SUM(H145:H145)</f>
        <v>850.63</v>
      </c>
      <c r="H146" s="73"/>
      <c r="J146" s="73">
        <f>K141+K143+K144+SUM(K145:K145)</f>
        <v>5022.3500000000004</v>
      </c>
      <c r="K146" s="73"/>
      <c r="L146" s="47">
        <f>Source!U61</f>
        <v>0</v>
      </c>
      <c r="O146" s="29">
        <f>G146</f>
        <v>850.63</v>
      </c>
      <c r="P146" s="29">
        <f>J146</f>
        <v>5022.3500000000004</v>
      </c>
      <c r="Q146" s="29">
        <f>L146</f>
        <v>0</v>
      </c>
      <c r="W146">
        <f>IF(Source!BI61&lt;=1,H141+H143+H144, 0)</f>
        <v>2.3200000000000003</v>
      </c>
      <c r="X146">
        <f>IF(Source!BI61=2,H141+H143+H144, 0)</f>
        <v>0</v>
      </c>
      <c r="Y146">
        <f>IF(Source!BI61=3,H141+H143+H144, 0)</f>
        <v>0</v>
      </c>
      <c r="Z146">
        <f>IF(Source!BI61=4,H141+H143+H144, 0)</f>
        <v>0</v>
      </c>
    </row>
    <row r="147" spans="1:26" ht="42.75">
      <c r="A147" s="54" t="str">
        <f>Source!E65</f>
        <v>14</v>
      </c>
      <c r="B147" s="55" t="str">
        <f>Source!F65</f>
        <v>Цена поставщика</v>
      </c>
      <c r="C147" s="55" t="s">
        <v>405</v>
      </c>
      <c r="D147" s="41" t="str">
        <f>Source!H65</f>
        <v>КОМП</v>
      </c>
      <c r="E147" s="42">
        <f>Source!I65</f>
        <v>1</v>
      </c>
      <c r="F147" s="43">
        <f>Source!AL65</f>
        <v>75269.179999999993</v>
      </c>
      <c r="G147" s="44" t="str">
        <f>Source!DD65</f>
        <v/>
      </c>
      <c r="H147" s="45">
        <f>ROUND(Source!AC65*Source!I65, 2)</f>
        <v>75269.179999999993</v>
      </c>
      <c r="I147" s="44" t="str">
        <f>Source!BO65</f>
        <v/>
      </c>
      <c r="J147" s="44">
        <f>IF(Source!BC65&lt;&gt; 0, Source!BC65, 1)</f>
        <v>5.9</v>
      </c>
      <c r="K147" s="45">
        <f>Source!P65-0.01</f>
        <v>444088.14999999997</v>
      </c>
      <c r="L147" s="48"/>
      <c r="S147">
        <f>ROUND((Source!FX65/100)*((ROUND(Source!AF65*Source!I65, 2)+ROUND(Source!AE65*Source!I65, 2))), 2)</f>
        <v>0</v>
      </c>
      <c r="T147">
        <f>Source!X65</f>
        <v>0</v>
      </c>
      <c r="U147">
        <f>ROUND((Source!FY65/100)*((ROUND(Source!AF65*Source!I65, 2)+ROUND(Source!AE65*Source!I65, 2))), 2)</f>
        <v>0</v>
      </c>
      <c r="V147">
        <f>Source!Y65</f>
        <v>0</v>
      </c>
    </row>
    <row r="148" spans="1:26" ht="15">
      <c r="G148" s="73">
        <f>H147</f>
        <v>75269.179999999993</v>
      </c>
      <c r="H148" s="73"/>
      <c r="J148" s="73">
        <f>K147</f>
        <v>444088.14999999997</v>
      </c>
      <c r="K148" s="73"/>
      <c r="L148" s="47">
        <f>Source!U65</f>
        <v>0</v>
      </c>
      <c r="O148" s="29">
        <f>G148</f>
        <v>75269.179999999993</v>
      </c>
      <c r="P148" s="29">
        <f>J148</f>
        <v>444088.14999999997</v>
      </c>
      <c r="Q148" s="29">
        <f>L148</f>
        <v>0</v>
      </c>
      <c r="W148">
        <f>IF(Source!BI65&lt;=1,H147, 0)</f>
        <v>75269.179999999993</v>
      </c>
      <c r="X148">
        <f>IF(Source!BI65=2,H147, 0)</f>
        <v>0</v>
      </c>
      <c r="Y148">
        <f>IF(Source!BI65=3,H147, 0)</f>
        <v>0</v>
      </c>
      <c r="Z148">
        <f>IF(Source!BI65=4,H147, 0)</f>
        <v>0</v>
      </c>
    </row>
    <row r="149" spans="1:26" ht="57">
      <c r="A149" s="52" t="str">
        <f>Source!E67</f>
        <v>15</v>
      </c>
      <c r="B149" s="53" t="str">
        <f>Source!F67</f>
        <v>пг03-21-01-005</v>
      </c>
      <c r="C149" s="53" t="str">
        <f>Source!G67</f>
        <v>Перевозка грузов автомобилями-самосвалами грузоподъемностью 10 т, работающих вне карьера, на расстояние: до 5 км I класс груза</v>
      </c>
      <c r="D149" s="34" t="str">
        <f>Source!H67</f>
        <v>1 Т ГРУЗА</v>
      </c>
      <c r="E149" s="12">
        <f>Source!I67</f>
        <v>39</v>
      </c>
      <c r="F149" s="35">
        <f>Source!AL67+Source!AM67+Source!AO67</f>
        <v>6.65</v>
      </c>
      <c r="G149" s="36"/>
      <c r="H149" s="37"/>
      <c r="I149" s="36" t="str">
        <f>Source!BO67</f>
        <v/>
      </c>
      <c r="J149" s="36"/>
      <c r="K149" s="37"/>
      <c r="L149" s="38"/>
      <c r="S149">
        <f>ROUND((Source!FX67/100)*((ROUND(Source!AF67*Source!I67, 2)+ROUND(Source!AE67*Source!I67, 2))), 2)</f>
        <v>0</v>
      </c>
      <c r="T149">
        <f>Source!X67</f>
        <v>0</v>
      </c>
      <c r="U149">
        <f>ROUND((Source!FY67/100)*((ROUND(Source!AF67*Source!I67, 2)+ROUND(Source!AE67*Source!I67, 2))), 2)</f>
        <v>0</v>
      </c>
      <c r="V149">
        <f>Source!Y67</f>
        <v>0</v>
      </c>
    </row>
    <row r="150" spans="1:26" ht="14.25">
      <c r="A150" s="54"/>
      <c r="B150" s="55"/>
      <c r="C150" s="55" t="s">
        <v>160</v>
      </c>
      <c r="D150" s="41"/>
      <c r="E150" s="42"/>
      <c r="F150" s="43">
        <f>Source!AM67</f>
        <v>6.65</v>
      </c>
      <c r="G150" s="44" t="str">
        <f>Source!DE67</f>
        <v/>
      </c>
      <c r="H150" s="45">
        <f>ROUND(Source!AD67*Source!I67, 2)</f>
        <v>259.35000000000002</v>
      </c>
      <c r="I150" s="44"/>
      <c r="J150" s="44">
        <f>IF(Source!BB67&lt;&gt; 0, Source!BB67, 1)</f>
        <v>6.21</v>
      </c>
      <c r="K150" s="45">
        <f>Source!Q67</f>
        <v>1610.56</v>
      </c>
      <c r="L150" s="48"/>
    </row>
    <row r="151" spans="1:26" ht="15">
      <c r="G151" s="73">
        <f>H150</f>
        <v>259.35000000000002</v>
      </c>
      <c r="H151" s="73"/>
      <c r="J151" s="73">
        <f>K150</f>
        <v>1610.56</v>
      </c>
      <c r="K151" s="73"/>
      <c r="L151" s="47">
        <f>Source!U67</f>
        <v>0</v>
      </c>
      <c r="O151" s="29">
        <f>G151</f>
        <v>259.35000000000002</v>
      </c>
      <c r="P151" s="29">
        <f>J151</f>
        <v>1610.56</v>
      </c>
      <c r="Q151" s="29">
        <f>L151</f>
        <v>0</v>
      </c>
      <c r="W151">
        <f>IF(Source!BI67&lt;=1,H150, 0)</f>
        <v>259.35000000000002</v>
      </c>
      <c r="X151">
        <f>IF(Source!BI67=2,H150, 0)</f>
        <v>0</v>
      </c>
      <c r="Y151">
        <f>IF(Source!BI67=3,H150, 0)</f>
        <v>0</v>
      </c>
      <c r="Z151">
        <f>IF(Source!BI67=4,H150, 0)</f>
        <v>0</v>
      </c>
    </row>
    <row r="153" spans="1:26" ht="15">
      <c r="A153" s="76" t="str">
        <f>CONCATENATE("Итого по локальной смете: ",IF(Source!G69&lt;&gt;"Новая локальная смета", Source!G69, ""))</f>
        <v xml:space="preserve">Итого по локальной смете: </v>
      </c>
      <c r="B153" s="76"/>
      <c r="C153" s="76"/>
      <c r="D153" s="76"/>
      <c r="E153" s="76"/>
      <c r="F153" s="76"/>
      <c r="G153" s="77">
        <f>SUM(O33:O152)</f>
        <v>173235.45</v>
      </c>
      <c r="H153" s="77"/>
      <c r="I153" s="32"/>
      <c r="J153" s="77">
        <f>SUM(P33:P152)</f>
        <v>1146766.1000000001</v>
      </c>
      <c r="K153" s="77"/>
      <c r="L153" s="47">
        <f>SUM(Q33:Q152)</f>
        <v>656.96214963999989</v>
      </c>
    </row>
    <row r="156" spans="1:26" ht="14.25">
      <c r="C156" s="66" t="str">
        <f>Source!H97</f>
        <v>Итого прямые затраты</v>
      </c>
      <c r="D156" s="66"/>
      <c r="E156" s="66"/>
      <c r="F156" s="66"/>
      <c r="G156" s="66"/>
      <c r="H156" s="66"/>
      <c r="I156" s="66"/>
      <c r="J156" s="71">
        <f>IF(Source!P97=0, "", Source!P97)-0.01</f>
        <v>1013403.52</v>
      </c>
      <c r="K156" s="71"/>
    </row>
    <row r="157" spans="1:26" ht="14.25">
      <c r="C157" s="66" t="str">
        <f>Source!H98</f>
        <v>Накладные расходы</v>
      </c>
      <c r="D157" s="66"/>
      <c r="E157" s="66"/>
      <c r="F157" s="66"/>
      <c r="G157" s="66"/>
      <c r="H157" s="66"/>
      <c r="I157" s="66"/>
      <c r="J157" s="71">
        <f>IF(Source!P98=0, "", Source!P98)</f>
        <v>86240.98</v>
      </c>
      <c r="K157" s="71"/>
    </row>
    <row r="158" spans="1:26" ht="14.25">
      <c r="C158" s="66" t="str">
        <f>Source!H99</f>
        <v>Сметная прибыль</v>
      </c>
      <c r="D158" s="66"/>
      <c r="E158" s="66"/>
      <c r="F158" s="66"/>
      <c r="G158" s="66"/>
      <c r="H158" s="66"/>
      <c r="I158" s="66"/>
      <c r="J158" s="71">
        <f>IF(Source!P99=0, "", Source!P99)</f>
        <v>47121.599999999999</v>
      </c>
      <c r="K158" s="71"/>
    </row>
    <row r="159" spans="1:26" s="57" customFormat="1" ht="15">
      <c r="C159" s="76" t="str">
        <f>Source!H100</f>
        <v>Итого</v>
      </c>
      <c r="D159" s="76"/>
      <c r="E159" s="76"/>
      <c r="F159" s="76"/>
      <c r="G159" s="76"/>
      <c r="H159" s="76"/>
      <c r="I159" s="76"/>
      <c r="J159" s="77">
        <f>J156+J157+J158</f>
        <v>1146766.1000000001</v>
      </c>
      <c r="K159" s="77"/>
    </row>
    <row r="160" spans="1:26" s="57" customFormat="1" ht="15">
      <c r="C160" s="76" t="str">
        <f>Source!H101</f>
        <v>НДС 18%</v>
      </c>
      <c r="D160" s="76"/>
      <c r="E160" s="76"/>
      <c r="F160" s="76"/>
      <c r="G160" s="76"/>
      <c r="H160" s="76"/>
      <c r="I160" s="76"/>
      <c r="J160" s="77">
        <f>J159*0.18</f>
        <v>206417.89800000002</v>
      </c>
      <c r="K160" s="77"/>
    </row>
    <row r="161" spans="1:12" s="57" customFormat="1" ht="15">
      <c r="C161" s="76" t="str">
        <f>Source!H102</f>
        <v>Всего</v>
      </c>
      <c r="D161" s="76"/>
      <c r="E161" s="76"/>
      <c r="F161" s="76"/>
      <c r="G161" s="76"/>
      <c r="H161" s="76"/>
      <c r="I161" s="76"/>
      <c r="J161" s="77">
        <f>J159+J160</f>
        <v>1353183.9980000001</v>
      </c>
      <c r="K161" s="77"/>
    </row>
    <row r="166" spans="1:12" ht="14.25">
      <c r="A166" s="31" t="s">
        <v>406</v>
      </c>
      <c r="B166" s="31"/>
      <c r="C166" s="12" t="s">
        <v>407</v>
      </c>
      <c r="D166" s="30"/>
      <c r="E166" s="30"/>
      <c r="F166" s="30" t="s">
        <v>416</v>
      </c>
      <c r="G166" s="30"/>
      <c r="H166" s="30"/>
      <c r="I166" s="13" t="str">
        <f>IF(Source!AB12&lt;&gt;"", Source!AB12," ")</f>
        <v xml:space="preserve"> </v>
      </c>
      <c r="J166" s="13"/>
      <c r="K166" s="13"/>
      <c r="L166" s="13"/>
    </row>
    <row r="167" spans="1:12" ht="14.25">
      <c r="A167" s="13"/>
      <c r="B167" s="13"/>
      <c r="C167" s="12"/>
      <c r="D167" s="75"/>
      <c r="E167" s="75"/>
      <c r="F167" s="75"/>
      <c r="G167" s="75"/>
      <c r="H167" s="75"/>
      <c r="I167" s="13"/>
      <c r="J167" s="13"/>
      <c r="K167" s="13"/>
      <c r="L167" s="13"/>
    </row>
    <row r="168" spans="1:12" ht="14.25">
      <c r="A168" s="13"/>
      <c r="B168" s="13"/>
      <c r="C168" s="12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ht="14.25">
      <c r="A169" s="31" t="s">
        <v>406</v>
      </c>
      <c r="B169" s="31"/>
      <c r="C169" s="12" t="s">
        <v>409</v>
      </c>
      <c r="D169" s="30" t="str">
        <f>IF(Source!AE12&lt;&gt;"", Source!AE12," ")</f>
        <v xml:space="preserve"> </v>
      </c>
      <c r="E169" s="30"/>
      <c r="F169" s="30"/>
      <c r="G169" s="30"/>
      <c r="H169" s="30"/>
      <c r="I169" s="13" t="str">
        <f>IF(Source!AD12&lt;&gt;"", Source!AD12," ")</f>
        <v xml:space="preserve"> </v>
      </c>
      <c r="J169" s="13"/>
      <c r="K169" s="13"/>
      <c r="L169" s="13"/>
    </row>
    <row r="170" spans="1:12" ht="14.25">
      <c r="A170" s="13"/>
      <c r="B170" s="13"/>
      <c r="C170" s="13"/>
      <c r="D170" s="75" t="s">
        <v>408</v>
      </c>
      <c r="E170" s="75"/>
      <c r="F170" s="75"/>
      <c r="G170" s="75"/>
      <c r="H170" s="75"/>
      <c r="I170" s="13"/>
      <c r="J170" s="13"/>
      <c r="K170" s="13"/>
      <c r="L170" s="13"/>
    </row>
  </sheetData>
  <mergeCells count="90">
    <mergeCell ref="G124:H124"/>
    <mergeCell ref="J41:K41"/>
    <mergeCell ref="G41:H41"/>
    <mergeCell ref="G153:H153"/>
    <mergeCell ref="J153:K153"/>
    <mergeCell ref="A153:F153"/>
    <mergeCell ref="J151:K151"/>
    <mergeCell ref="G151:H151"/>
    <mergeCell ref="J148:K148"/>
    <mergeCell ref="G148:H148"/>
    <mergeCell ref="J61:K61"/>
    <mergeCell ref="G61:H61"/>
    <mergeCell ref="J58:K58"/>
    <mergeCell ref="G58:H58"/>
    <mergeCell ref="F56:G56"/>
    <mergeCell ref="J48:K48"/>
    <mergeCell ref="G48:H48"/>
    <mergeCell ref="F69:G69"/>
    <mergeCell ref="J105:K105"/>
    <mergeCell ref="G105:H105"/>
    <mergeCell ref="F102:G102"/>
    <mergeCell ref="J94:K94"/>
    <mergeCell ref="G94:H94"/>
    <mergeCell ref="F91:G91"/>
    <mergeCell ref="J83:K83"/>
    <mergeCell ref="G83:H83"/>
    <mergeCell ref="F80:G80"/>
    <mergeCell ref="J72:K72"/>
    <mergeCell ref="G72:H72"/>
    <mergeCell ref="D170:H170"/>
    <mergeCell ref="C157:I157"/>
    <mergeCell ref="J157:K157"/>
    <mergeCell ref="C158:I158"/>
    <mergeCell ref="J158:K158"/>
    <mergeCell ref="C159:I159"/>
    <mergeCell ref="J159:K159"/>
    <mergeCell ref="C160:I160"/>
    <mergeCell ref="J160:K160"/>
    <mergeCell ref="C161:I161"/>
    <mergeCell ref="J161:K161"/>
    <mergeCell ref="D167:H167"/>
    <mergeCell ref="C28:F28"/>
    <mergeCell ref="G28:H28"/>
    <mergeCell ref="I28:J28"/>
    <mergeCell ref="K28:L28"/>
    <mergeCell ref="A30:L30"/>
    <mergeCell ref="C156:I156"/>
    <mergeCell ref="J156:K156"/>
    <mergeCell ref="J112:K112"/>
    <mergeCell ref="G112:H112"/>
    <mergeCell ref="F110:G110"/>
    <mergeCell ref="F120:G120"/>
    <mergeCell ref="J146:K146"/>
    <mergeCell ref="G146:H146"/>
    <mergeCell ref="F144:G144"/>
    <mergeCell ref="J139:K139"/>
    <mergeCell ref="G139:H139"/>
    <mergeCell ref="F137:G137"/>
    <mergeCell ref="J131:K131"/>
    <mergeCell ref="G131:H131"/>
    <mergeCell ref="F129:G129"/>
    <mergeCell ref="J124:K124"/>
    <mergeCell ref="C27:F27"/>
    <mergeCell ref="G27:H27"/>
    <mergeCell ref="I27:J27"/>
    <mergeCell ref="K27:L27"/>
    <mergeCell ref="C26:F26"/>
    <mergeCell ref="G26:H26"/>
    <mergeCell ref="I26:J26"/>
    <mergeCell ref="K26:L26"/>
    <mergeCell ref="G25:H25"/>
    <mergeCell ref="I25:J25"/>
    <mergeCell ref="B7:E7"/>
    <mergeCell ref="H7:L7"/>
    <mergeCell ref="B10:K10"/>
    <mergeCell ref="B11:K11"/>
    <mergeCell ref="F13:G13"/>
    <mergeCell ref="H13:K13"/>
    <mergeCell ref="H8:L8"/>
    <mergeCell ref="B15:K15"/>
    <mergeCell ref="B17:K17"/>
    <mergeCell ref="B19:K19"/>
    <mergeCell ref="B20:K20"/>
    <mergeCell ref="A22:L22"/>
    <mergeCell ref="B3:E3"/>
    <mergeCell ref="H3:L3"/>
    <mergeCell ref="B4:E4"/>
    <mergeCell ref="H4:L4"/>
    <mergeCell ref="B6:E6"/>
    <mergeCell ref="H5:L6"/>
  </mergeCells>
  <pageMargins left="0.4" right="0.2" top="0.2" bottom="0.4" header="0.2" footer="0.2"/>
  <pageSetup paperSize="9" scale="60" fitToHeight="0" orientation="portrait" verticalDpi="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U166"/>
  <sheetViews>
    <sheetView workbookViewId="0">
      <selection activeCell="A162" sqref="A162:AH162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51900</v>
      </c>
      <c r="M1">
        <v>11</v>
      </c>
    </row>
    <row r="12" spans="1:133">
      <c r="A12" s="1">
        <v>1</v>
      </c>
      <c r="B12" s="1">
        <v>160</v>
      </c>
      <c r="C12" s="1">
        <v>0</v>
      </c>
      <c r="D12" s="1">
        <f>ROW(A104)</f>
        <v>104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8</v>
      </c>
      <c r="CB12" s="1" t="s">
        <v>8</v>
      </c>
      <c r="CC12" s="1" t="s">
        <v>8</v>
      </c>
      <c r="CD12" s="1" t="s">
        <v>8</v>
      </c>
      <c r="CE12" s="1" t="s">
        <v>3</v>
      </c>
      <c r="CF12" s="1">
        <v>0</v>
      </c>
      <c r="CG12" s="1">
        <v>0</v>
      </c>
      <c r="CH12" s="1">
        <v>8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55">
      <c r="A18" s="3">
        <v>52</v>
      </c>
      <c r="B18" s="3">
        <f t="shared" ref="B18:G18" si="0">B104</f>
        <v>160</v>
      </c>
      <c r="C18" s="3">
        <f t="shared" si="0"/>
        <v>1</v>
      </c>
      <c r="D18" s="3">
        <f t="shared" si="0"/>
        <v>12</v>
      </c>
      <c r="E18" s="3">
        <f t="shared" si="0"/>
        <v>0</v>
      </c>
      <c r="F18" s="3" t="str">
        <f t="shared" si="0"/>
        <v>Дорогобуж</v>
      </c>
      <c r="G18" s="3" t="str">
        <f t="shared" si="0"/>
        <v>Благоустройство площадки</v>
      </c>
      <c r="H18" s="3"/>
      <c r="I18" s="3"/>
      <c r="J18" s="3"/>
      <c r="K18" s="3"/>
      <c r="L18" s="3"/>
      <c r="M18" s="3"/>
      <c r="N18" s="3"/>
      <c r="O18" s="3">
        <f t="shared" ref="O18:AT18" si="1">O104</f>
        <v>88203.35</v>
      </c>
      <c r="P18" s="3">
        <f t="shared" si="1"/>
        <v>75017.14</v>
      </c>
      <c r="Q18" s="3">
        <f t="shared" si="1"/>
        <v>8820.74</v>
      </c>
      <c r="R18" s="3">
        <f t="shared" si="1"/>
        <v>547.05999999999995</v>
      </c>
      <c r="S18" s="3">
        <f t="shared" si="1"/>
        <v>4365.47</v>
      </c>
      <c r="T18" s="3">
        <f t="shared" si="1"/>
        <v>0</v>
      </c>
      <c r="U18" s="3">
        <f t="shared" si="1"/>
        <v>656.96214963999989</v>
      </c>
      <c r="V18" s="3">
        <f t="shared" si="1"/>
        <v>45.324802749999996</v>
      </c>
      <c r="W18" s="3">
        <f t="shared" si="1"/>
        <v>0</v>
      </c>
      <c r="X18" s="3">
        <f t="shared" si="1"/>
        <v>6164.49</v>
      </c>
      <c r="Y18" s="3">
        <f t="shared" si="1"/>
        <v>3580.09</v>
      </c>
      <c r="Z18" s="3">
        <f t="shared" si="1"/>
        <v>0</v>
      </c>
      <c r="AA18" s="3">
        <f t="shared" si="1"/>
        <v>0</v>
      </c>
      <c r="AB18" s="3">
        <f t="shared" si="1"/>
        <v>0</v>
      </c>
      <c r="AC18" s="3">
        <f t="shared" si="1"/>
        <v>0</v>
      </c>
      <c r="AD18" s="3">
        <f t="shared" si="1"/>
        <v>0</v>
      </c>
      <c r="AE18" s="3">
        <f t="shared" si="1"/>
        <v>0</v>
      </c>
      <c r="AF18" s="3">
        <f t="shared" si="1"/>
        <v>0</v>
      </c>
      <c r="AG18" s="3">
        <f t="shared" si="1"/>
        <v>0</v>
      </c>
      <c r="AH18" s="3">
        <f t="shared" si="1"/>
        <v>0</v>
      </c>
      <c r="AI18" s="3">
        <f t="shared" si="1"/>
        <v>0</v>
      </c>
      <c r="AJ18" s="3">
        <f t="shared" si="1"/>
        <v>0</v>
      </c>
      <c r="AK18" s="3">
        <f t="shared" si="1"/>
        <v>0</v>
      </c>
      <c r="AL18" s="3">
        <f t="shared" si="1"/>
        <v>0</v>
      </c>
      <c r="AM18" s="3">
        <f t="shared" si="1"/>
        <v>0</v>
      </c>
      <c r="AN18" s="3">
        <f t="shared" si="1"/>
        <v>0</v>
      </c>
      <c r="AO18" s="3">
        <f t="shared" si="1"/>
        <v>0</v>
      </c>
      <c r="AP18" s="3">
        <f t="shared" si="1"/>
        <v>0</v>
      </c>
      <c r="AQ18" s="3">
        <f t="shared" si="1"/>
        <v>0</v>
      </c>
      <c r="AR18" s="3">
        <f t="shared" si="1"/>
        <v>97947.93</v>
      </c>
      <c r="AS18" s="3">
        <f t="shared" si="1"/>
        <v>97947.93</v>
      </c>
      <c r="AT18" s="3">
        <f t="shared" si="1"/>
        <v>0</v>
      </c>
      <c r="AU18" s="3">
        <f t="shared" ref="AU18:BZ18" si="2">AU104</f>
        <v>0</v>
      </c>
      <c r="AV18" s="3">
        <f t="shared" si="2"/>
        <v>75017.14</v>
      </c>
      <c r="AW18" s="3">
        <f t="shared" si="2"/>
        <v>75017.14</v>
      </c>
      <c r="AX18" s="3">
        <f t="shared" si="2"/>
        <v>0</v>
      </c>
      <c r="AY18" s="3">
        <f t="shared" si="2"/>
        <v>75017.14</v>
      </c>
      <c r="AZ18" s="3">
        <f t="shared" si="2"/>
        <v>0</v>
      </c>
      <c r="BA18" s="3">
        <f t="shared" si="2"/>
        <v>0</v>
      </c>
      <c r="BB18" s="3">
        <f t="shared" si="2"/>
        <v>0</v>
      </c>
      <c r="BC18" s="3">
        <f t="shared" si="2"/>
        <v>0</v>
      </c>
      <c r="BD18" s="3">
        <f t="shared" si="2"/>
        <v>0</v>
      </c>
      <c r="BE18" s="3">
        <f t="shared" si="2"/>
        <v>0</v>
      </c>
      <c r="BF18" s="3">
        <f t="shared" si="2"/>
        <v>0</v>
      </c>
      <c r="BG18" s="3">
        <f t="shared" si="2"/>
        <v>0</v>
      </c>
      <c r="BH18" s="3">
        <f t="shared" si="2"/>
        <v>0</v>
      </c>
      <c r="BI18" s="3">
        <f t="shared" si="2"/>
        <v>0</v>
      </c>
      <c r="BJ18" s="3">
        <f t="shared" si="2"/>
        <v>0</v>
      </c>
      <c r="BK18" s="3">
        <f t="shared" si="2"/>
        <v>0</v>
      </c>
      <c r="BL18" s="3">
        <f t="shared" si="2"/>
        <v>0</v>
      </c>
      <c r="BM18" s="3">
        <f t="shared" si="2"/>
        <v>0</v>
      </c>
      <c r="BN18" s="3">
        <f t="shared" si="2"/>
        <v>0</v>
      </c>
      <c r="BO18" s="3">
        <f t="shared" si="2"/>
        <v>0</v>
      </c>
      <c r="BP18" s="3">
        <f t="shared" si="2"/>
        <v>0</v>
      </c>
      <c r="BQ18" s="3">
        <f t="shared" si="2"/>
        <v>0</v>
      </c>
      <c r="BR18" s="3">
        <f t="shared" si="2"/>
        <v>0</v>
      </c>
      <c r="BS18" s="3">
        <f t="shared" si="2"/>
        <v>0</v>
      </c>
      <c r="BT18" s="3">
        <f t="shared" si="2"/>
        <v>0</v>
      </c>
      <c r="BU18" s="3">
        <f t="shared" si="2"/>
        <v>0</v>
      </c>
      <c r="BV18" s="3">
        <f t="shared" si="2"/>
        <v>0</v>
      </c>
      <c r="BW18" s="3">
        <f t="shared" si="2"/>
        <v>0</v>
      </c>
      <c r="BX18" s="3">
        <f t="shared" si="2"/>
        <v>0</v>
      </c>
      <c r="BY18" s="3">
        <f t="shared" si="2"/>
        <v>0</v>
      </c>
      <c r="BZ18" s="3">
        <f t="shared" si="2"/>
        <v>0</v>
      </c>
      <c r="CA18" s="3">
        <f t="shared" ref="CA18:DF18" si="3">CA104</f>
        <v>0</v>
      </c>
      <c r="CB18" s="3">
        <f t="shared" si="3"/>
        <v>0</v>
      </c>
      <c r="CC18" s="3">
        <f t="shared" si="3"/>
        <v>0</v>
      </c>
      <c r="CD18" s="3">
        <f t="shared" si="3"/>
        <v>0</v>
      </c>
      <c r="CE18" s="3">
        <f t="shared" si="3"/>
        <v>0</v>
      </c>
      <c r="CF18" s="3">
        <f t="shared" si="3"/>
        <v>0</v>
      </c>
      <c r="CG18" s="3">
        <f t="shared" si="3"/>
        <v>0</v>
      </c>
      <c r="CH18" s="3">
        <f t="shared" si="3"/>
        <v>0</v>
      </c>
      <c r="CI18" s="3">
        <f t="shared" si="3"/>
        <v>0</v>
      </c>
      <c r="CJ18" s="3">
        <f t="shared" si="3"/>
        <v>0</v>
      </c>
      <c r="CK18" s="3">
        <f t="shared" si="3"/>
        <v>0</v>
      </c>
      <c r="CL18" s="3">
        <f t="shared" si="3"/>
        <v>0</v>
      </c>
      <c r="CM18" s="3">
        <f t="shared" si="3"/>
        <v>0</v>
      </c>
      <c r="CN18" s="3">
        <f t="shared" si="3"/>
        <v>0</v>
      </c>
      <c r="CO18" s="3">
        <f t="shared" si="3"/>
        <v>0</v>
      </c>
      <c r="CP18" s="3">
        <f t="shared" si="3"/>
        <v>0</v>
      </c>
      <c r="CQ18" s="3">
        <f t="shared" si="3"/>
        <v>0</v>
      </c>
      <c r="CR18" s="3">
        <f t="shared" si="3"/>
        <v>0</v>
      </c>
      <c r="CS18" s="3">
        <f t="shared" si="3"/>
        <v>0</v>
      </c>
      <c r="CT18" s="3">
        <f t="shared" si="3"/>
        <v>0</v>
      </c>
      <c r="CU18" s="3">
        <f t="shared" si="3"/>
        <v>0</v>
      </c>
      <c r="CV18" s="3">
        <f t="shared" si="3"/>
        <v>0</v>
      </c>
      <c r="CW18" s="3">
        <f t="shared" si="3"/>
        <v>0</v>
      </c>
      <c r="CX18" s="3">
        <f t="shared" si="3"/>
        <v>0</v>
      </c>
      <c r="CY18" s="3">
        <f t="shared" si="3"/>
        <v>0</v>
      </c>
      <c r="CZ18" s="3">
        <f t="shared" si="3"/>
        <v>0</v>
      </c>
      <c r="DA18" s="3">
        <f t="shared" si="3"/>
        <v>0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0</v>
      </c>
      <c r="DF18" s="3">
        <f t="shared" si="3"/>
        <v>0</v>
      </c>
      <c r="DG18" s="4">
        <f t="shared" ref="DG18:EL18" si="4">DG104</f>
        <v>1013403.53</v>
      </c>
      <c r="DH18" s="4">
        <f t="shared" si="4"/>
        <v>886858.56</v>
      </c>
      <c r="DI18" s="4">
        <f t="shared" si="4"/>
        <v>54776.78</v>
      </c>
      <c r="DJ18" s="4">
        <f t="shared" si="4"/>
        <v>8993.48</v>
      </c>
      <c r="DK18" s="4">
        <f t="shared" si="4"/>
        <v>71768.19</v>
      </c>
      <c r="DL18" s="4">
        <f t="shared" si="4"/>
        <v>0</v>
      </c>
      <c r="DM18" s="4">
        <f t="shared" si="4"/>
        <v>656.96214963999989</v>
      </c>
      <c r="DN18" s="4">
        <f t="shared" si="4"/>
        <v>45.324802749999996</v>
      </c>
      <c r="DO18" s="4">
        <f t="shared" si="4"/>
        <v>0</v>
      </c>
      <c r="DP18" s="4">
        <f t="shared" si="4"/>
        <v>86240.98</v>
      </c>
      <c r="DQ18" s="4">
        <f t="shared" si="4"/>
        <v>47121.599999999999</v>
      </c>
      <c r="DR18" s="4">
        <f t="shared" si="4"/>
        <v>0</v>
      </c>
      <c r="DS18" s="4">
        <f t="shared" si="4"/>
        <v>0</v>
      </c>
      <c r="DT18" s="4">
        <f t="shared" si="4"/>
        <v>0</v>
      </c>
      <c r="DU18" s="4">
        <f t="shared" si="4"/>
        <v>0</v>
      </c>
      <c r="DV18" s="4">
        <f t="shared" si="4"/>
        <v>0</v>
      </c>
      <c r="DW18" s="4">
        <f t="shared" si="4"/>
        <v>0</v>
      </c>
      <c r="DX18" s="4">
        <f t="shared" si="4"/>
        <v>0</v>
      </c>
      <c r="DY18" s="4">
        <f t="shared" si="4"/>
        <v>0</v>
      </c>
      <c r="DZ18" s="4">
        <f t="shared" si="4"/>
        <v>0</v>
      </c>
      <c r="EA18" s="4">
        <f t="shared" si="4"/>
        <v>0</v>
      </c>
      <c r="EB18" s="4">
        <f t="shared" si="4"/>
        <v>0</v>
      </c>
      <c r="EC18" s="4">
        <f t="shared" si="4"/>
        <v>0</v>
      </c>
      <c r="ED18" s="4">
        <f t="shared" si="4"/>
        <v>0</v>
      </c>
      <c r="EE18" s="4">
        <f t="shared" si="4"/>
        <v>0</v>
      </c>
      <c r="EF18" s="4">
        <f t="shared" si="4"/>
        <v>0</v>
      </c>
      <c r="EG18" s="4">
        <f t="shared" si="4"/>
        <v>0</v>
      </c>
      <c r="EH18" s="4">
        <f t="shared" si="4"/>
        <v>0</v>
      </c>
      <c r="EI18" s="4">
        <f t="shared" si="4"/>
        <v>0</v>
      </c>
      <c r="EJ18" s="4">
        <f t="shared" si="4"/>
        <v>1146766.1100000001</v>
      </c>
      <c r="EK18" s="4">
        <f t="shared" si="4"/>
        <v>1146766.1100000001</v>
      </c>
      <c r="EL18" s="4">
        <f t="shared" si="4"/>
        <v>0</v>
      </c>
      <c r="EM18" s="4">
        <f t="shared" ref="EM18:FR18" si="5">EM104</f>
        <v>0</v>
      </c>
      <c r="EN18" s="4">
        <f t="shared" si="5"/>
        <v>886858.56</v>
      </c>
      <c r="EO18" s="4">
        <f t="shared" si="5"/>
        <v>886858.56</v>
      </c>
      <c r="EP18" s="4">
        <f t="shared" si="5"/>
        <v>0</v>
      </c>
      <c r="EQ18" s="4">
        <f t="shared" si="5"/>
        <v>886858.56</v>
      </c>
      <c r="ER18" s="4">
        <f t="shared" si="5"/>
        <v>0</v>
      </c>
      <c r="ES18" s="4">
        <f t="shared" si="5"/>
        <v>0</v>
      </c>
      <c r="ET18" s="4">
        <f t="shared" si="5"/>
        <v>0</v>
      </c>
      <c r="EU18" s="4">
        <f t="shared" si="5"/>
        <v>0</v>
      </c>
      <c r="EV18" s="4">
        <f t="shared" si="5"/>
        <v>0</v>
      </c>
      <c r="EW18" s="4">
        <f t="shared" si="5"/>
        <v>0</v>
      </c>
      <c r="EX18" s="4">
        <f t="shared" si="5"/>
        <v>0</v>
      </c>
      <c r="EY18" s="4">
        <f t="shared" si="5"/>
        <v>0</v>
      </c>
      <c r="EZ18" s="4">
        <f t="shared" si="5"/>
        <v>0</v>
      </c>
      <c r="FA18" s="4">
        <f t="shared" si="5"/>
        <v>0</v>
      </c>
      <c r="FB18" s="4">
        <f t="shared" si="5"/>
        <v>0</v>
      </c>
      <c r="FC18" s="4">
        <f t="shared" si="5"/>
        <v>0</v>
      </c>
      <c r="FD18" s="4">
        <f t="shared" si="5"/>
        <v>0</v>
      </c>
      <c r="FE18" s="4">
        <f t="shared" si="5"/>
        <v>0</v>
      </c>
      <c r="FF18" s="4">
        <f t="shared" si="5"/>
        <v>0</v>
      </c>
      <c r="FG18" s="4">
        <f t="shared" si="5"/>
        <v>0</v>
      </c>
      <c r="FH18" s="4">
        <f t="shared" si="5"/>
        <v>0</v>
      </c>
      <c r="FI18" s="4">
        <f t="shared" si="5"/>
        <v>0</v>
      </c>
      <c r="FJ18" s="4">
        <f t="shared" si="5"/>
        <v>0</v>
      </c>
      <c r="FK18" s="4">
        <f t="shared" si="5"/>
        <v>0</v>
      </c>
      <c r="FL18" s="4">
        <f t="shared" si="5"/>
        <v>0</v>
      </c>
      <c r="FM18" s="4">
        <f t="shared" si="5"/>
        <v>0</v>
      </c>
      <c r="FN18" s="4">
        <f t="shared" si="5"/>
        <v>0</v>
      </c>
      <c r="FO18" s="4">
        <f t="shared" si="5"/>
        <v>0</v>
      </c>
      <c r="FP18" s="4">
        <f t="shared" si="5"/>
        <v>0</v>
      </c>
      <c r="FQ18" s="4">
        <f t="shared" si="5"/>
        <v>0</v>
      </c>
      <c r="FR18" s="4">
        <f t="shared" si="5"/>
        <v>0</v>
      </c>
      <c r="FS18" s="4">
        <f t="shared" ref="FS18:GX18" si="6">FS104</f>
        <v>0</v>
      </c>
      <c r="FT18" s="4">
        <f t="shared" si="6"/>
        <v>0</v>
      </c>
      <c r="FU18" s="4">
        <f t="shared" si="6"/>
        <v>0</v>
      </c>
      <c r="FV18" s="4">
        <f t="shared" si="6"/>
        <v>0</v>
      </c>
      <c r="FW18" s="4">
        <f t="shared" si="6"/>
        <v>0</v>
      </c>
      <c r="FX18" s="4">
        <f t="shared" si="6"/>
        <v>0</v>
      </c>
      <c r="FY18" s="4">
        <f t="shared" si="6"/>
        <v>0</v>
      </c>
      <c r="FZ18" s="4">
        <f t="shared" si="6"/>
        <v>0</v>
      </c>
      <c r="GA18" s="4">
        <f t="shared" si="6"/>
        <v>0</v>
      </c>
      <c r="GB18" s="4">
        <f t="shared" si="6"/>
        <v>0</v>
      </c>
      <c r="GC18" s="4">
        <f t="shared" si="6"/>
        <v>0</v>
      </c>
      <c r="GD18" s="4">
        <f t="shared" si="6"/>
        <v>0</v>
      </c>
      <c r="GE18" s="4">
        <f t="shared" si="6"/>
        <v>0</v>
      </c>
      <c r="GF18" s="4">
        <f t="shared" si="6"/>
        <v>0</v>
      </c>
      <c r="GG18" s="4">
        <f t="shared" si="6"/>
        <v>0</v>
      </c>
      <c r="GH18" s="4">
        <f t="shared" si="6"/>
        <v>0</v>
      </c>
      <c r="GI18" s="4">
        <f t="shared" si="6"/>
        <v>0</v>
      </c>
      <c r="GJ18" s="4">
        <f t="shared" si="6"/>
        <v>0</v>
      </c>
      <c r="GK18" s="4">
        <f t="shared" si="6"/>
        <v>0</v>
      </c>
      <c r="GL18" s="4">
        <f t="shared" si="6"/>
        <v>0</v>
      </c>
      <c r="GM18" s="4">
        <f t="shared" si="6"/>
        <v>0</v>
      </c>
      <c r="GN18" s="4">
        <f t="shared" si="6"/>
        <v>0</v>
      </c>
      <c r="GO18" s="4">
        <f t="shared" si="6"/>
        <v>0</v>
      </c>
      <c r="GP18" s="4">
        <f t="shared" si="6"/>
        <v>0</v>
      </c>
      <c r="GQ18" s="4">
        <f t="shared" si="6"/>
        <v>0</v>
      </c>
      <c r="GR18" s="4">
        <f t="shared" si="6"/>
        <v>0</v>
      </c>
      <c r="GS18" s="4">
        <f t="shared" si="6"/>
        <v>0</v>
      </c>
      <c r="GT18" s="4">
        <f t="shared" si="6"/>
        <v>0</v>
      </c>
      <c r="GU18" s="4">
        <f t="shared" si="6"/>
        <v>0</v>
      </c>
      <c r="GV18" s="4">
        <f t="shared" si="6"/>
        <v>0</v>
      </c>
      <c r="GW18" s="4">
        <f t="shared" si="6"/>
        <v>0</v>
      </c>
      <c r="GX18" s="4">
        <f t="shared" si="6"/>
        <v>0</v>
      </c>
    </row>
    <row r="20" spans="1:255">
      <c r="A20" s="1">
        <v>3</v>
      </c>
      <c r="B20" s="1">
        <v>1</v>
      </c>
      <c r="C20" s="1"/>
      <c r="D20" s="1">
        <f>ROW(A69)</f>
        <v>69</v>
      </c>
      <c r="E20" s="1"/>
      <c r="F20" s="1" t="s">
        <v>10</v>
      </c>
      <c r="G20" s="1" t="s">
        <v>10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/>
      <c r="N20" s="1"/>
      <c r="O20" s="1"/>
      <c r="P20" s="1"/>
      <c r="Q20" s="1"/>
      <c r="R20" s="1"/>
      <c r="S20" s="1"/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11</v>
      </c>
      <c r="BE20" s="1" t="s">
        <v>11</v>
      </c>
      <c r="BF20" s="1" t="s">
        <v>12</v>
      </c>
      <c r="BG20" s="1" t="s">
        <v>3</v>
      </c>
      <c r="BH20" s="1" t="s">
        <v>12</v>
      </c>
      <c r="BI20" s="1" t="s">
        <v>11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11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</row>
    <row r="22" spans="1:255">
      <c r="A22" s="3">
        <v>52</v>
      </c>
      <c r="B22" s="3">
        <f t="shared" ref="B22:G22" si="7">B69</f>
        <v>1</v>
      </c>
      <c r="C22" s="3">
        <f t="shared" si="7"/>
        <v>3</v>
      </c>
      <c r="D22" s="3">
        <f t="shared" si="7"/>
        <v>20</v>
      </c>
      <c r="E22" s="3">
        <f t="shared" si="7"/>
        <v>0</v>
      </c>
      <c r="F22" s="3" t="str">
        <f t="shared" si="7"/>
        <v>Новая локальная смета</v>
      </c>
      <c r="G22" s="3" t="str">
        <f t="shared" si="7"/>
        <v>Новая локальная смета</v>
      </c>
      <c r="H22" s="3"/>
      <c r="I22" s="3"/>
      <c r="J22" s="3"/>
      <c r="K22" s="3"/>
      <c r="L22" s="3"/>
      <c r="M22" s="3"/>
      <c r="N22" s="3"/>
      <c r="O22" s="3">
        <f t="shared" ref="O22:AT22" si="8">O69</f>
        <v>88203.35</v>
      </c>
      <c r="P22" s="3">
        <f t="shared" si="8"/>
        <v>75017.14</v>
      </c>
      <c r="Q22" s="3">
        <f t="shared" si="8"/>
        <v>8820.74</v>
      </c>
      <c r="R22" s="3">
        <f t="shared" si="8"/>
        <v>547.05999999999995</v>
      </c>
      <c r="S22" s="3">
        <f t="shared" si="8"/>
        <v>4365.47</v>
      </c>
      <c r="T22" s="3">
        <f t="shared" si="8"/>
        <v>0</v>
      </c>
      <c r="U22" s="3">
        <f t="shared" si="8"/>
        <v>656.96214963999989</v>
      </c>
      <c r="V22" s="3">
        <f t="shared" si="8"/>
        <v>45.324802749999996</v>
      </c>
      <c r="W22" s="3">
        <f t="shared" si="8"/>
        <v>0</v>
      </c>
      <c r="X22" s="3">
        <f t="shared" si="8"/>
        <v>6164.49</v>
      </c>
      <c r="Y22" s="3">
        <f t="shared" si="8"/>
        <v>3580.09</v>
      </c>
      <c r="Z22" s="3">
        <f t="shared" si="8"/>
        <v>0</v>
      </c>
      <c r="AA22" s="3">
        <f t="shared" si="8"/>
        <v>0</v>
      </c>
      <c r="AB22" s="3">
        <f t="shared" si="8"/>
        <v>88203.35</v>
      </c>
      <c r="AC22" s="3">
        <f t="shared" si="8"/>
        <v>75017.14</v>
      </c>
      <c r="AD22" s="3">
        <f t="shared" si="8"/>
        <v>8820.74</v>
      </c>
      <c r="AE22" s="3">
        <f t="shared" si="8"/>
        <v>547.05999999999995</v>
      </c>
      <c r="AF22" s="3">
        <f t="shared" si="8"/>
        <v>4365.47</v>
      </c>
      <c r="AG22" s="3">
        <f t="shared" si="8"/>
        <v>0</v>
      </c>
      <c r="AH22" s="3">
        <f t="shared" si="8"/>
        <v>656.96214963999989</v>
      </c>
      <c r="AI22" s="3">
        <f t="shared" si="8"/>
        <v>45.324802749999996</v>
      </c>
      <c r="AJ22" s="3">
        <f t="shared" si="8"/>
        <v>0</v>
      </c>
      <c r="AK22" s="3">
        <f t="shared" si="8"/>
        <v>6164.49</v>
      </c>
      <c r="AL22" s="3">
        <f t="shared" si="8"/>
        <v>3580.09</v>
      </c>
      <c r="AM22" s="3">
        <f t="shared" si="8"/>
        <v>0</v>
      </c>
      <c r="AN22" s="3">
        <f t="shared" si="8"/>
        <v>0</v>
      </c>
      <c r="AO22" s="3">
        <f t="shared" si="8"/>
        <v>0</v>
      </c>
      <c r="AP22" s="3">
        <f t="shared" si="8"/>
        <v>0</v>
      </c>
      <c r="AQ22" s="3">
        <f t="shared" si="8"/>
        <v>0</v>
      </c>
      <c r="AR22" s="3">
        <f t="shared" si="8"/>
        <v>97947.93</v>
      </c>
      <c r="AS22" s="3">
        <f t="shared" si="8"/>
        <v>97947.93</v>
      </c>
      <c r="AT22" s="3">
        <f t="shared" si="8"/>
        <v>0</v>
      </c>
      <c r="AU22" s="3">
        <f t="shared" ref="AU22:BZ22" si="9">AU69</f>
        <v>0</v>
      </c>
      <c r="AV22" s="3">
        <f t="shared" si="9"/>
        <v>75017.14</v>
      </c>
      <c r="AW22" s="3">
        <f t="shared" si="9"/>
        <v>75017.14</v>
      </c>
      <c r="AX22" s="3">
        <f t="shared" si="9"/>
        <v>0</v>
      </c>
      <c r="AY22" s="3">
        <f t="shared" si="9"/>
        <v>75017.14</v>
      </c>
      <c r="AZ22" s="3">
        <f t="shared" si="9"/>
        <v>0</v>
      </c>
      <c r="BA22" s="3">
        <f t="shared" si="9"/>
        <v>0</v>
      </c>
      <c r="BB22" s="3">
        <f t="shared" si="9"/>
        <v>0</v>
      </c>
      <c r="BC22" s="3">
        <f t="shared" si="9"/>
        <v>0</v>
      </c>
      <c r="BD22" s="3">
        <f t="shared" si="9"/>
        <v>0</v>
      </c>
      <c r="BE22" s="3">
        <f t="shared" si="9"/>
        <v>0</v>
      </c>
      <c r="BF22" s="3">
        <f t="shared" si="9"/>
        <v>0</v>
      </c>
      <c r="BG22" s="3">
        <f t="shared" si="9"/>
        <v>0</v>
      </c>
      <c r="BH22" s="3">
        <f t="shared" si="9"/>
        <v>0</v>
      </c>
      <c r="BI22" s="3">
        <f t="shared" si="9"/>
        <v>0</v>
      </c>
      <c r="BJ22" s="3">
        <f t="shared" si="9"/>
        <v>0</v>
      </c>
      <c r="BK22" s="3">
        <f t="shared" si="9"/>
        <v>0</v>
      </c>
      <c r="BL22" s="3">
        <f t="shared" si="9"/>
        <v>0</v>
      </c>
      <c r="BM22" s="3">
        <f t="shared" si="9"/>
        <v>0</v>
      </c>
      <c r="BN22" s="3">
        <f t="shared" si="9"/>
        <v>0</v>
      </c>
      <c r="BO22" s="3">
        <f t="shared" si="9"/>
        <v>0</v>
      </c>
      <c r="BP22" s="3">
        <f t="shared" si="9"/>
        <v>0</v>
      </c>
      <c r="BQ22" s="3">
        <f t="shared" si="9"/>
        <v>0</v>
      </c>
      <c r="BR22" s="3">
        <f t="shared" si="9"/>
        <v>0</v>
      </c>
      <c r="BS22" s="3">
        <f t="shared" si="9"/>
        <v>0</v>
      </c>
      <c r="BT22" s="3">
        <f t="shared" si="9"/>
        <v>0</v>
      </c>
      <c r="BU22" s="3">
        <f t="shared" si="9"/>
        <v>0</v>
      </c>
      <c r="BV22" s="3">
        <f t="shared" si="9"/>
        <v>0</v>
      </c>
      <c r="BW22" s="3">
        <f t="shared" si="9"/>
        <v>0</v>
      </c>
      <c r="BX22" s="3">
        <f t="shared" si="9"/>
        <v>0</v>
      </c>
      <c r="BY22" s="3">
        <f t="shared" si="9"/>
        <v>0</v>
      </c>
      <c r="BZ22" s="3">
        <f t="shared" si="9"/>
        <v>0</v>
      </c>
      <c r="CA22" s="3">
        <f t="shared" ref="CA22:DF22" si="10">CA69</f>
        <v>97947.93</v>
      </c>
      <c r="CB22" s="3">
        <f t="shared" si="10"/>
        <v>97947.93</v>
      </c>
      <c r="CC22" s="3">
        <f t="shared" si="10"/>
        <v>0</v>
      </c>
      <c r="CD22" s="3">
        <f t="shared" si="10"/>
        <v>0</v>
      </c>
      <c r="CE22" s="3">
        <f t="shared" si="10"/>
        <v>75017.14</v>
      </c>
      <c r="CF22" s="3">
        <f t="shared" si="10"/>
        <v>75017.14</v>
      </c>
      <c r="CG22" s="3">
        <f t="shared" si="10"/>
        <v>0</v>
      </c>
      <c r="CH22" s="3">
        <f t="shared" si="10"/>
        <v>75017.14</v>
      </c>
      <c r="CI22" s="3">
        <f t="shared" si="10"/>
        <v>0</v>
      </c>
      <c r="CJ22" s="3">
        <f t="shared" si="10"/>
        <v>0</v>
      </c>
      <c r="CK22" s="3">
        <f t="shared" si="10"/>
        <v>0</v>
      </c>
      <c r="CL22" s="3">
        <f t="shared" si="10"/>
        <v>0</v>
      </c>
      <c r="CM22" s="3">
        <f t="shared" si="10"/>
        <v>0</v>
      </c>
      <c r="CN22" s="3">
        <f t="shared" si="10"/>
        <v>0</v>
      </c>
      <c r="CO22" s="3">
        <f t="shared" si="10"/>
        <v>0</v>
      </c>
      <c r="CP22" s="3">
        <f t="shared" si="10"/>
        <v>0</v>
      </c>
      <c r="CQ22" s="3">
        <f t="shared" si="10"/>
        <v>0</v>
      </c>
      <c r="CR22" s="3">
        <f t="shared" si="10"/>
        <v>0</v>
      </c>
      <c r="CS22" s="3">
        <f t="shared" si="10"/>
        <v>0</v>
      </c>
      <c r="CT22" s="3">
        <f t="shared" si="10"/>
        <v>0</v>
      </c>
      <c r="CU22" s="3">
        <f t="shared" si="10"/>
        <v>0</v>
      </c>
      <c r="CV22" s="3">
        <f t="shared" si="10"/>
        <v>0</v>
      </c>
      <c r="CW22" s="3">
        <f t="shared" si="10"/>
        <v>0</v>
      </c>
      <c r="CX22" s="3">
        <f t="shared" si="10"/>
        <v>0</v>
      </c>
      <c r="CY22" s="3">
        <f t="shared" si="10"/>
        <v>0</v>
      </c>
      <c r="CZ22" s="3">
        <f t="shared" si="10"/>
        <v>0</v>
      </c>
      <c r="DA22" s="3">
        <f t="shared" si="10"/>
        <v>0</v>
      </c>
      <c r="DB22" s="3">
        <f t="shared" si="10"/>
        <v>0</v>
      </c>
      <c r="DC22" s="3">
        <f t="shared" si="10"/>
        <v>0</v>
      </c>
      <c r="DD22" s="3">
        <f t="shared" si="10"/>
        <v>0</v>
      </c>
      <c r="DE22" s="3">
        <f t="shared" si="10"/>
        <v>0</v>
      </c>
      <c r="DF22" s="3">
        <f t="shared" si="10"/>
        <v>0</v>
      </c>
      <c r="DG22" s="4">
        <f t="shared" ref="DG22:EL22" si="11">DG69</f>
        <v>1013403.53</v>
      </c>
      <c r="DH22" s="4">
        <f t="shared" si="11"/>
        <v>886858.56</v>
      </c>
      <c r="DI22" s="4">
        <f t="shared" si="11"/>
        <v>54776.78</v>
      </c>
      <c r="DJ22" s="4">
        <f t="shared" si="11"/>
        <v>8993.48</v>
      </c>
      <c r="DK22" s="4">
        <f t="shared" si="11"/>
        <v>71768.19</v>
      </c>
      <c r="DL22" s="4">
        <f t="shared" si="11"/>
        <v>0</v>
      </c>
      <c r="DM22" s="4">
        <f t="shared" si="11"/>
        <v>656.96214963999989</v>
      </c>
      <c r="DN22" s="4">
        <f t="shared" si="11"/>
        <v>45.324802749999996</v>
      </c>
      <c r="DO22" s="4">
        <f t="shared" si="11"/>
        <v>0</v>
      </c>
      <c r="DP22" s="4">
        <f t="shared" si="11"/>
        <v>86240.98</v>
      </c>
      <c r="DQ22" s="4">
        <f t="shared" si="11"/>
        <v>47121.599999999999</v>
      </c>
      <c r="DR22" s="4">
        <f t="shared" si="11"/>
        <v>0</v>
      </c>
      <c r="DS22" s="4">
        <f t="shared" si="11"/>
        <v>0</v>
      </c>
      <c r="DT22" s="4">
        <f t="shared" si="11"/>
        <v>1013403.53</v>
      </c>
      <c r="DU22" s="4">
        <f t="shared" si="11"/>
        <v>886858.56</v>
      </c>
      <c r="DV22" s="4">
        <f t="shared" si="11"/>
        <v>54776.78</v>
      </c>
      <c r="DW22" s="4">
        <f t="shared" si="11"/>
        <v>8993.48</v>
      </c>
      <c r="DX22" s="4">
        <f t="shared" si="11"/>
        <v>71768.19</v>
      </c>
      <c r="DY22" s="4">
        <f t="shared" si="11"/>
        <v>0</v>
      </c>
      <c r="DZ22" s="4">
        <f t="shared" si="11"/>
        <v>656.96214963999989</v>
      </c>
      <c r="EA22" s="4">
        <f t="shared" si="11"/>
        <v>45.324802749999996</v>
      </c>
      <c r="EB22" s="4">
        <f t="shared" si="11"/>
        <v>0</v>
      </c>
      <c r="EC22" s="4">
        <f t="shared" si="11"/>
        <v>86240.98</v>
      </c>
      <c r="ED22" s="4">
        <f t="shared" si="11"/>
        <v>47121.599999999999</v>
      </c>
      <c r="EE22" s="4">
        <f t="shared" si="11"/>
        <v>0</v>
      </c>
      <c r="EF22" s="4">
        <f t="shared" si="11"/>
        <v>0</v>
      </c>
      <c r="EG22" s="4">
        <f t="shared" si="11"/>
        <v>0</v>
      </c>
      <c r="EH22" s="4">
        <f t="shared" si="11"/>
        <v>0</v>
      </c>
      <c r="EI22" s="4">
        <f t="shared" si="11"/>
        <v>0</v>
      </c>
      <c r="EJ22" s="4">
        <f t="shared" si="11"/>
        <v>1146766.1100000001</v>
      </c>
      <c r="EK22" s="4">
        <f t="shared" si="11"/>
        <v>1146766.1100000001</v>
      </c>
      <c r="EL22" s="4">
        <f t="shared" si="11"/>
        <v>0</v>
      </c>
      <c r="EM22" s="4">
        <f t="shared" ref="EM22:FR22" si="12">EM69</f>
        <v>0</v>
      </c>
      <c r="EN22" s="4">
        <f t="shared" si="12"/>
        <v>886858.56</v>
      </c>
      <c r="EO22" s="4">
        <f t="shared" si="12"/>
        <v>886858.56</v>
      </c>
      <c r="EP22" s="4">
        <f t="shared" si="12"/>
        <v>0</v>
      </c>
      <c r="EQ22" s="4">
        <f t="shared" si="12"/>
        <v>886858.56</v>
      </c>
      <c r="ER22" s="4">
        <f t="shared" si="12"/>
        <v>0</v>
      </c>
      <c r="ES22" s="4">
        <f t="shared" si="12"/>
        <v>0</v>
      </c>
      <c r="ET22" s="4">
        <f t="shared" si="12"/>
        <v>0</v>
      </c>
      <c r="EU22" s="4">
        <f t="shared" si="12"/>
        <v>0</v>
      </c>
      <c r="EV22" s="4">
        <f t="shared" si="12"/>
        <v>0</v>
      </c>
      <c r="EW22" s="4">
        <f t="shared" si="12"/>
        <v>0</v>
      </c>
      <c r="EX22" s="4">
        <f t="shared" si="12"/>
        <v>0</v>
      </c>
      <c r="EY22" s="4">
        <f t="shared" si="12"/>
        <v>0</v>
      </c>
      <c r="EZ22" s="4">
        <f t="shared" si="12"/>
        <v>0</v>
      </c>
      <c r="FA22" s="4">
        <f t="shared" si="12"/>
        <v>0</v>
      </c>
      <c r="FB22" s="4">
        <f t="shared" si="12"/>
        <v>0</v>
      </c>
      <c r="FC22" s="4">
        <f t="shared" si="12"/>
        <v>0</v>
      </c>
      <c r="FD22" s="4">
        <f t="shared" si="12"/>
        <v>0</v>
      </c>
      <c r="FE22" s="4">
        <f t="shared" si="12"/>
        <v>0</v>
      </c>
      <c r="FF22" s="4">
        <f t="shared" si="12"/>
        <v>0</v>
      </c>
      <c r="FG22" s="4">
        <f t="shared" si="12"/>
        <v>0</v>
      </c>
      <c r="FH22" s="4">
        <f t="shared" si="12"/>
        <v>0</v>
      </c>
      <c r="FI22" s="4">
        <f t="shared" si="12"/>
        <v>0</v>
      </c>
      <c r="FJ22" s="4">
        <f t="shared" si="12"/>
        <v>0</v>
      </c>
      <c r="FK22" s="4">
        <f t="shared" si="12"/>
        <v>0</v>
      </c>
      <c r="FL22" s="4">
        <f t="shared" si="12"/>
        <v>0</v>
      </c>
      <c r="FM22" s="4">
        <f t="shared" si="12"/>
        <v>0</v>
      </c>
      <c r="FN22" s="4">
        <f t="shared" si="12"/>
        <v>0</v>
      </c>
      <c r="FO22" s="4">
        <f t="shared" si="12"/>
        <v>0</v>
      </c>
      <c r="FP22" s="4">
        <f t="shared" si="12"/>
        <v>0</v>
      </c>
      <c r="FQ22" s="4">
        <f t="shared" si="12"/>
        <v>0</v>
      </c>
      <c r="FR22" s="4">
        <f t="shared" si="12"/>
        <v>0</v>
      </c>
      <c r="FS22" s="4">
        <f t="shared" ref="FS22:GX22" si="13">FS69</f>
        <v>1146766.1100000001</v>
      </c>
      <c r="FT22" s="4">
        <f t="shared" si="13"/>
        <v>1146766.1100000001</v>
      </c>
      <c r="FU22" s="4">
        <f t="shared" si="13"/>
        <v>0</v>
      </c>
      <c r="FV22" s="4">
        <f t="shared" si="13"/>
        <v>0</v>
      </c>
      <c r="FW22" s="4">
        <f t="shared" si="13"/>
        <v>886858.56</v>
      </c>
      <c r="FX22" s="4">
        <f t="shared" si="13"/>
        <v>886858.56</v>
      </c>
      <c r="FY22" s="4">
        <f t="shared" si="13"/>
        <v>0</v>
      </c>
      <c r="FZ22" s="4">
        <f t="shared" si="13"/>
        <v>886858.56</v>
      </c>
      <c r="GA22" s="4">
        <f t="shared" si="13"/>
        <v>0</v>
      </c>
      <c r="GB22" s="4">
        <f t="shared" si="13"/>
        <v>0</v>
      </c>
      <c r="GC22" s="4">
        <f t="shared" si="13"/>
        <v>0</v>
      </c>
      <c r="GD22" s="4">
        <f t="shared" si="13"/>
        <v>0</v>
      </c>
      <c r="GE22" s="4">
        <f t="shared" si="13"/>
        <v>0</v>
      </c>
      <c r="GF22" s="4">
        <f t="shared" si="13"/>
        <v>0</v>
      </c>
      <c r="GG22" s="4">
        <f t="shared" si="13"/>
        <v>0</v>
      </c>
      <c r="GH22" s="4">
        <f t="shared" si="13"/>
        <v>0</v>
      </c>
      <c r="GI22" s="4">
        <f t="shared" si="13"/>
        <v>0</v>
      </c>
      <c r="GJ22" s="4">
        <f t="shared" si="13"/>
        <v>0</v>
      </c>
      <c r="GK22" s="4">
        <f t="shared" si="13"/>
        <v>0</v>
      </c>
      <c r="GL22" s="4">
        <f t="shared" si="13"/>
        <v>0</v>
      </c>
      <c r="GM22" s="4">
        <f t="shared" si="13"/>
        <v>0</v>
      </c>
      <c r="GN22" s="4">
        <f t="shared" si="13"/>
        <v>0</v>
      </c>
      <c r="GO22" s="4">
        <f t="shared" si="13"/>
        <v>0</v>
      </c>
      <c r="GP22" s="4">
        <f t="shared" si="13"/>
        <v>0</v>
      </c>
      <c r="GQ22" s="4">
        <f t="shared" si="13"/>
        <v>0</v>
      </c>
      <c r="GR22" s="4">
        <f t="shared" si="13"/>
        <v>0</v>
      </c>
      <c r="GS22" s="4">
        <f t="shared" si="13"/>
        <v>0</v>
      </c>
      <c r="GT22" s="4">
        <f t="shared" si="13"/>
        <v>0</v>
      </c>
      <c r="GU22" s="4">
        <f t="shared" si="13"/>
        <v>0</v>
      </c>
      <c r="GV22" s="4">
        <f t="shared" si="13"/>
        <v>0</v>
      </c>
      <c r="GW22" s="4">
        <f t="shared" si="13"/>
        <v>0</v>
      </c>
      <c r="GX22" s="4">
        <f t="shared" si="13"/>
        <v>0</v>
      </c>
    </row>
    <row r="24" spans="1:255">
      <c r="A24" s="2">
        <v>17</v>
      </c>
      <c r="B24" s="2">
        <v>1</v>
      </c>
      <c r="C24" s="2">
        <f>ROW(SmtRes!A4)</f>
        <v>4</v>
      </c>
      <c r="D24" s="2">
        <f>ROW(EtalonRes!A4)</f>
        <v>4</v>
      </c>
      <c r="E24" s="2" t="s">
        <v>13</v>
      </c>
      <c r="F24" s="2" t="s">
        <v>14</v>
      </c>
      <c r="G24" s="2" t="s">
        <v>15</v>
      </c>
      <c r="H24" s="2" t="s">
        <v>16</v>
      </c>
      <c r="I24" s="2">
        <f>ROUND(103/100,9)</f>
        <v>1.03</v>
      </c>
      <c r="J24" s="2">
        <v>0</v>
      </c>
      <c r="K24" s="2"/>
      <c r="L24" s="2"/>
      <c r="M24" s="2"/>
      <c r="N24" s="2"/>
      <c r="O24" s="2">
        <f t="shared" ref="O24:O67" si="14">ROUND(CP24,2)</f>
        <v>1408.34</v>
      </c>
      <c r="P24" s="2">
        <f t="shared" ref="P24:P67" si="15">ROUND(CQ24*I24,2)</f>
        <v>0</v>
      </c>
      <c r="Q24" s="2">
        <f t="shared" ref="Q24:Q67" si="16">ROUND(CR24*I24,2)</f>
        <v>914.07</v>
      </c>
      <c r="R24" s="2">
        <f t="shared" ref="R24:R67" si="17">ROUND(CS24*I24,2)</f>
        <v>95.66</v>
      </c>
      <c r="S24" s="2">
        <f t="shared" ref="S24:S67" si="18">ROUND(CT24*I24,2)</f>
        <v>494.27</v>
      </c>
      <c r="T24" s="2">
        <f t="shared" ref="T24:T67" si="19">ROUND(CU24*I24,2)</f>
        <v>0</v>
      </c>
      <c r="U24" s="2">
        <f t="shared" ref="U24:U67" si="20">CV24*I24</f>
        <v>70.3078</v>
      </c>
      <c r="V24" s="2">
        <f t="shared" ref="V24:V67" si="21">CW24*I24</f>
        <v>9.6820000000000004</v>
      </c>
      <c r="W24" s="2">
        <f t="shared" ref="W24:W67" si="22">ROUND(CX24*I24,2)</f>
        <v>0</v>
      </c>
      <c r="X24" s="2">
        <f t="shared" ref="X24:X67" si="23">ROUND(CY24,2)</f>
        <v>613.53</v>
      </c>
      <c r="Y24" s="2">
        <f t="shared" ref="Y24:Y67" si="24">ROUND(CZ24,2)</f>
        <v>353.96</v>
      </c>
      <c r="Z24" s="2"/>
      <c r="AA24" s="2">
        <v>34847864</v>
      </c>
      <c r="AB24" s="2">
        <f t="shared" ref="AB24:AB67" si="25">ROUND((AC24+AD24+AF24),6)</f>
        <v>1367.32</v>
      </c>
      <c r="AC24" s="2">
        <f t="shared" ref="AC24:AC67" si="26">ROUND((ES24),6)</f>
        <v>0</v>
      </c>
      <c r="AD24" s="2">
        <f>ROUND((((ET24)-(EU24))+AE24),6)</f>
        <v>887.45</v>
      </c>
      <c r="AE24" s="2">
        <f t="shared" ref="AE24:AF27" si="27">ROUND((EU24),6)</f>
        <v>92.87</v>
      </c>
      <c r="AF24" s="2">
        <f t="shared" si="27"/>
        <v>479.87</v>
      </c>
      <c r="AG24" s="2">
        <f t="shared" ref="AG24:AG67" si="28">ROUND((AP24),6)</f>
        <v>0</v>
      </c>
      <c r="AH24" s="2">
        <f t="shared" ref="AH24:AI27" si="29">(EW24)</f>
        <v>68.260000000000005</v>
      </c>
      <c r="AI24" s="2">
        <f t="shared" si="29"/>
        <v>9.4</v>
      </c>
      <c r="AJ24" s="2">
        <f t="shared" ref="AJ24:AJ67" si="30">ROUND((AS24),6)</f>
        <v>0</v>
      </c>
      <c r="AK24" s="2">
        <v>1367.32</v>
      </c>
      <c r="AL24" s="2">
        <v>0</v>
      </c>
      <c r="AM24" s="2">
        <v>887.45</v>
      </c>
      <c r="AN24" s="2">
        <v>92.87</v>
      </c>
      <c r="AO24" s="2">
        <v>479.87</v>
      </c>
      <c r="AP24" s="2">
        <v>0</v>
      </c>
      <c r="AQ24" s="2">
        <v>68.260000000000005</v>
      </c>
      <c r="AR24" s="2">
        <v>9.4</v>
      </c>
      <c r="AS24" s="2">
        <v>0</v>
      </c>
      <c r="AT24" s="2">
        <v>104</v>
      </c>
      <c r="AU24" s="2">
        <v>60</v>
      </c>
      <c r="AV24" s="2">
        <v>1</v>
      </c>
      <c r="AW24" s="2">
        <v>1</v>
      </c>
      <c r="AX24" s="2"/>
      <c r="AY24" s="2"/>
      <c r="AZ24" s="2">
        <v>1</v>
      </c>
      <c r="BA24" s="2">
        <v>1</v>
      </c>
      <c r="BB24" s="2">
        <v>1</v>
      </c>
      <c r="BC24" s="2">
        <v>1</v>
      </c>
      <c r="BD24" s="2" t="s">
        <v>3</v>
      </c>
      <c r="BE24" s="2" t="s">
        <v>3</v>
      </c>
      <c r="BF24" s="2" t="s">
        <v>3</v>
      </c>
      <c r="BG24" s="2" t="s">
        <v>3</v>
      </c>
      <c r="BH24" s="2">
        <v>0</v>
      </c>
      <c r="BI24" s="2">
        <v>1</v>
      </c>
      <c r="BJ24" s="2" t="s">
        <v>17</v>
      </c>
      <c r="BK24" s="2"/>
      <c r="BL24" s="2"/>
      <c r="BM24" s="2">
        <v>68001</v>
      </c>
      <c r="BN24" s="2">
        <v>0</v>
      </c>
      <c r="BO24" s="2" t="s">
        <v>3</v>
      </c>
      <c r="BP24" s="2">
        <v>0</v>
      </c>
      <c r="BQ24" s="2">
        <v>6</v>
      </c>
      <c r="BR24" s="2">
        <v>0</v>
      </c>
      <c r="BS24" s="2">
        <v>1</v>
      </c>
      <c r="BT24" s="2">
        <v>1</v>
      </c>
      <c r="BU24" s="2">
        <v>1</v>
      </c>
      <c r="BV24" s="2">
        <v>1</v>
      </c>
      <c r="BW24" s="2">
        <v>1</v>
      </c>
      <c r="BX24" s="2">
        <v>1</v>
      </c>
      <c r="BY24" s="2" t="s">
        <v>3</v>
      </c>
      <c r="BZ24" s="2">
        <v>104</v>
      </c>
      <c r="CA24" s="2">
        <v>60</v>
      </c>
      <c r="CB24" s="2"/>
      <c r="CC24" s="2"/>
      <c r="CD24" s="2"/>
      <c r="CE24" s="2"/>
      <c r="CF24" s="2">
        <v>0</v>
      </c>
      <c r="CG24" s="2">
        <v>0</v>
      </c>
      <c r="CH24" s="2"/>
      <c r="CI24" s="2"/>
      <c r="CJ24" s="2"/>
      <c r="CK24" s="2"/>
      <c r="CL24" s="2"/>
      <c r="CM24" s="2">
        <v>0</v>
      </c>
      <c r="CN24" s="2" t="s">
        <v>3</v>
      </c>
      <c r="CO24" s="2">
        <v>0</v>
      </c>
      <c r="CP24" s="2">
        <f t="shared" ref="CP24:CP67" si="31">(P24+Q24+S24)</f>
        <v>1408.3400000000001</v>
      </c>
      <c r="CQ24" s="2">
        <f t="shared" ref="CQ24:CQ67" si="32">AC24*BC24</f>
        <v>0</v>
      </c>
      <c r="CR24" s="2">
        <f t="shared" ref="CR24:CR67" si="33">AD24*BB24</f>
        <v>887.45</v>
      </c>
      <c r="CS24" s="2">
        <f t="shared" ref="CS24:CS67" si="34">AE24*BS24</f>
        <v>92.87</v>
      </c>
      <c r="CT24" s="2">
        <f t="shared" ref="CT24:CT67" si="35">AF24*BA24</f>
        <v>479.87</v>
      </c>
      <c r="CU24" s="2">
        <f t="shared" ref="CU24:CU67" si="36">AG24</f>
        <v>0</v>
      </c>
      <c r="CV24" s="2">
        <f t="shared" ref="CV24:CV67" si="37">AH24</f>
        <v>68.260000000000005</v>
      </c>
      <c r="CW24" s="2">
        <f t="shared" ref="CW24:CW67" si="38">AI24</f>
        <v>9.4</v>
      </c>
      <c r="CX24" s="2">
        <f t="shared" ref="CX24:CX67" si="39">AJ24</f>
        <v>0</v>
      </c>
      <c r="CY24" s="2">
        <f t="shared" ref="CY24:CY67" si="40">(((S24+R24)*AT24)/100)</f>
        <v>613.52719999999999</v>
      </c>
      <c r="CZ24" s="2">
        <f t="shared" ref="CZ24:CZ67" si="41">(((S24+R24)*AU24)/100)</f>
        <v>353.95799999999997</v>
      </c>
      <c r="DA24" s="2"/>
      <c r="DB24" s="2"/>
      <c r="DC24" s="2" t="s">
        <v>3</v>
      </c>
      <c r="DD24" s="2" t="s">
        <v>3</v>
      </c>
      <c r="DE24" s="2" t="s">
        <v>3</v>
      </c>
      <c r="DF24" s="2" t="s">
        <v>3</v>
      </c>
      <c r="DG24" s="2" t="s">
        <v>3</v>
      </c>
      <c r="DH24" s="2" t="s">
        <v>3</v>
      </c>
      <c r="DI24" s="2" t="s">
        <v>3</v>
      </c>
      <c r="DJ24" s="2" t="s">
        <v>3</v>
      </c>
      <c r="DK24" s="2" t="s">
        <v>3</v>
      </c>
      <c r="DL24" s="2" t="s">
        <v>3</v>
      </c>
      <c r="DM24" s="2" t="s">
        <v>3</v>
      </c>
      <c r="DN24" s="2">
        <v>0</v>
      </c>
      <c r="DO24" s="2">
        <v>0</v>
      </c>
      <c r="DP24" s="2">
        <v>1</v>
      </c>
      <c r="DQ24" s="2">
        <v>1</v>
      </c>
      <c r="DR24" s="2"/>
      <c r="DS24" s="2"/>
      <c r="DT24" s="2"/>
      <c r="DU24" s="2">
        <v>1003</v>
      </c>
      <c r="DV24" s="2" t="s">
        <v>16</v>
      </c>
      <c r="DW24" s="2" t="s">
        <v>16</v>
      </c>
      <c r="DX24" s="2">
        <v>100</v>
      </c>
      <c r="DY24" s="2"/>
      <c r="DZ24" s="2"/>
      <c r="EA24" s="2"/>
      <c r="EB24" s="2"/>
      <c r="EC24" s="2"/>
      <c r="ED24" s="2"/>
      <c r="EE24" s="2">
        <v>24085486</v>
      </c>
      <c r="EF24" s="2">
        <v>6</v>
      </c>
      <c r="EG24" s="2" t="s">
        <v>18</v>
      </c>
      <c r="EH24" s="2">
        <v>0</v>
      </c>
      <c r="EI24" s="2" t="s">
        <v>3</v>
      </c>
      <c r="EJ24" s="2">
        <v>1</v>
      </c>
      <c r="EK24" s="2">
        <v>68001</v>
      </c>
      <c r="EL24" s="2" t="s">
        <v>19</v>
      </c>
      <c r="EM24" s="2" t="s">
        <v>20</v>
      </c>
      <c r="EN24" s="2"/>
      <c r="EO24" s="2" t="s">
        <v>3</v>
      </c>
      <c r="EP24" s="2"/>
      <c r="EQ24" s="2">
        <v>0</v>
      </c>
      <c r="ER24" s="2">
        <v>1367.32</v>
      </c>
      <c r="ES24" s="2">
        <v>0</v>
      </c>
      <c r="ET24" s="2">
        <v>887.45</v>
      </c>
      <c r="EU24" s="2">
        <v>92.87</v>
      </c>
      <c r="EV24" s="2">
        <v>479.87</v>
      </c>
      <c r="EW24" s="2">
        <v>68.260000000000005</v>
      </c>
      <c r="EX24" s="2">
        <v>9.4</v>
      </c>
      <c r="EY24" s="2">
        <v>0</v>
      </c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>
        <v>0</v>
      </c>
      <c r="FR24" s="2">
        <f t="shared" ref="FR24:FR67" si="42">ROUND(IF(AND(BH24=3,BI24=3),P24,0),2)</f>
        <v>0</v>
      </c>
      <c r="FS24" s="2">
        <v>0</v>
      </c>
      <c r="FT24" s="2"/>
      <c r="FU24" s="2"/>
      <c r="FV24" s="2"/>
      <c r="FW24" s="2"/>
      <c r="FX24" s="2">
        <v>104</v>
      </c>
      <c r="FY24" s="2">
        <v>60</v>
      </c>
      <c r="FZ24" s="2"/>
      <c r="GA24" s="2" t="s">
        <v>3</v>
      </c>
      <c r="GB24" s="2"/>
      <c r="GC24" s="2"/>
      <c r="GD24" s="2">
        <v>0</v>
      </c>
      <c r="GE24" s="2"/>
      <c r="GF24" s="2">
        <v>-1639231892</v>
      </c>
      <c r="GG24" s="2">
        <v>2</v>
      </c>
      <c r="GH24" s="2">
        <v>1</v>
      </c>
      <c r="GI24" s="2">
        <v>-2</v>
      </c>
      <c r="GJ24" s="2">
        <v>0</v>
      </c>
      <c r="GK24" s="2">
        <f>ROUND(R24*(R12)/100,2)</f>
        <v>0</v>
      </c>
      <c r="GL24" s="2">
        <f t="shared" ref="GL24:GL67" si="43">ROUND(IF(AND(BH24=3,BI24=3,FS24&lt;&gt;0),P24,0),2)</f>
        <v>0</v>
      </c>
      <c r="GM24" s="2">
        <f t="shared" ref="GM24:GM67" si="44">ROUND(O24+X24+Y24+GK24,2)+GX24</f>
        <v>2375.83</v>
      </c>
      <c r="GN24" s="2">
        <f t="shared" ref="GN24:GN67" si="45">IF(OR(BI24=0,BI24=1),ROUND(O24+X24+Y24+GK24,2),0)</f>
        <v>2375.83</v>
      </c>
      <c r="GO24" s="2">
        <f t="shared" ref="GO24:GO67" si="46">IF(BI24=2,ROUND(O24+X24+Y24+GK24,2),0)</f>
        <v>0</v>
      </c>
      <c r="GP24" s="2">
        <f t="shared" ref="GP24:GP67" si="47">IF(BI24=4,ROUND(O24+X24+Y24+GK24,2)+GX24,0)</f>
        <v>0</v>
      </c>
      <c r="GQ24" s="2"/>
      <c r="GR24" s="2">
        <v>0</v>
      </c>
      <c r="GS24" s="2">
        <v>3</v>
      </c>
      <c r="GT24" s="2">
        <v>0</v>
      </c>
      <c r="GU24" s="2" t="s">
        <v>3</v>
      </c>
      <c r="GV24" s="2">
        <f t="shared" ref="GV24:GV67" si="48">ROUND(GT24,6)</f>
        <v>0</v>
      </c>
      <c r="GW24" s="2">
        <v>1</v>
      </c>
      <c r="GX24" s="2">
        <f t="shared" ref="GX24:GX67" si="49">ROUND(GV24*GW24*I24,2)</f>
        <v>0</v>
      </c>
      <c r="GY24" s="2"/>
      <c r="GZ24" s="2"/>
      <c r="HA24" s="2">
        <v>0</v>
      </c>
      <c r="HB24" s="2">
        <v>0</v>
      </c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>
        <v>0</v>
      </c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>
      <c r="A25">
        <v>17</v>
      </c>
      <c r="B25">
        <v>1</v>
      </c>
      <c r="C25">
        <f>ROW(SmtRes!A8)</f>
        <v>8</v>
      </c>
      <c r="D25">
        <f>ROW(EtalonRes!A8)</f>
        <v>8</v>
      </c>
      <c r="E25" t="s">
        <v>13</v>
      </c>
      <c r="F25" t="s">
        <v>14</v>
      </c>
      <c r="G25" t="s">
        <v>15</v>
      </c>
      <c r="H25" t="s">
        <v>16</v>
      </c>
      <c r="I25">
        <f>ROUND(103/100,9)</f>
        <v>1.03</v>
      </c>
      <c r="J25">
        <v>0</v>
      </c>
      <c r="O25">
        <f t="shared" si="14"/>
        <v>13802.13</v>
      </c>
      <c r="P25">
        <f t="shared" si="15"/>
        <v>0</v>
      </c>
      <c r="Q25">
        <f t="shared" si="16"/>
        <v>5676.4</v>
      </c>
      <c r="R25">
        <f t="shared" si="17"/>
        <v>1572.59</v>
      </c>
      <c r="S25">
        <f t="shared" si="18"/>
        <v>8125.73</v>
      </c>
      <c r="T25">
        <f t="shared" si="19"/>
        <v>0</v>
      </c>
      <c r="U25">
        <f t="shared" si="20"/>
        <v>70.3078</v>
      </c>
      <c r="V25">
        <f t="shared" si="21"/>
        <v>9.6820000000000004</v>
      </c>
      <c r="W25">
        <f t="shared" si="22"/>
        <v>0</v>
      </c>
      <c r="X25">
        <f t="shared" si="23"/>
        <v>8534.52</v>
      </c>
      <c r="Y25">
        <f t="shared" si="24"/>
        <v>4655.1899999999996</v>
      </c>
      <c r="AA25">
        <v>34847877</v>
      </c>
      <c r="AB25">
        <f t="shared" si="25"/>
        <v>1367.32</v>
      </c>
      <c r="AC25">
        <f t="shared" si="26"/>
        <v>0</v>
      </c>
      <c r="AD25">
        <f>ROUND((((ET25)-(EU25))+AE25),6)</f>
        <v>887.45</v>
      </c>
      <c r="AE25">
        <f t="shared" si="27"/>
        <v>92.87</v>
      </c>
      <c r="AF25">
        <f t="shared" si="27"/>
        <v>479.87</v>
      </c>
      <c r="AG25">
        <f t="shared" si="28"/>
        <v>0</v>
      </c>
      <c r="AH25">
        <f t="shared" si="29"/>
        <v>68.260000000000005</v>
      </c>
      <c r="AI25">
        <f t="shared" si="29"/>
        <v>9.4</v>
      </c>
      <c r="AJ25">
        <f t="shared" si="30"/>
        <v>0</v>
      </c>
      <c r="AK25">
        <v>1367.32</v>
      </c>
      <c r="AL25">
        <v>0</v>
      </c>
      <c r="AM25">
        <v>887.45</v>
      </c>
      <c r="AN25">
        <v>92.87</v>
      </c>
      <c r="AO25">
        <v>479.87</v>
      </c>
      <c r="AP25">
        <v>0</v>
      </c>
      <c r="AQ25">
        <v>68.260000000000005</v>
      </c>
      <c r="AR25">
        <v>9.4</v>
      </c>
      <c r="AS25">
        <v>0</v>
      </c>
      <c r="AT25">
        <v>88</v>
      </c>
      <c r="AU25">
        <v>48</v>
      </c>
      <c r="AV25">
        <v>1</v>
      </c>
      <c r="AW25">
        <v>1</v>
      </c>
      <c r="AZ25">
        <v>1</v>
      </c>
      <c r="BA25">
        <v>16.440000000000001</v>
      </c>
      <c r="BB25">
        <v>6.21</v>
      </c>
      <c r="BC25">
        <v>5.9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17</v>
      </c>
      <c r="BM25">
        <v>68001</v>
      </c>
      <c r="BN25">
        <v>0</v>
      </c>
      <c r="BO25" t="s">
        <v>3</v>
      </c>
      <c r="BP25">
        <v>0</v>
      </c>
      <c r="BQ25">
        <v>6</v>
      </c>
      <c r="BR25">
        <v>0</v>
      </c>
      <c r="BS25">
        <v>16.440000000000001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104</v>
      </c>
      <c r="CA25">
        <v>60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1"/>
        <v>13802.13</v>
      </c>
      <c r="CQ25">
        <f t="shared" si="32"/>
        <v>0</v>
      </c>
      <c r="CR25">
        <f t="shared" si="33"/>
        <v>5511.0645000000004</v>
      </c>
      <c r="CS25">
        <f t="shared" si="34"/>
        <v>1526.7828000000002</v>
      </c>
      <c r="CT25">
        <f t="shared" si="35"/>
        <v>7889.0628000000006</v>
      </c>
      <c r="CU25">
        <f t="shared" si="36"/>
        <v>0</v>
      </c>
      <c r="CV25">
        <f t="shared" si="37"/>
        <v>68.260000000000005</v>
      </c>
      <c r="CW25">
        <f t="shared" si="38"/>
        <v>9.4</v>
      </c>
      <c r="CX25">
        <f t="shared" si="39"/>
        <v>0</v>
      </c>
      <c r="CY25">
        <f t="shared" si="40"/>
        <v>8534.5216</v>
      </c>
      <c r="CZ25">
        <f t="shared" si="41"/>
        <v>4655.1935999999996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1003</v>
      </c>
      <c r="DV25" t="s">
        <v>16</v>
      </c>
      <c r="DW25" t="s">
        <v>16</v>
      </c>
      <c r="DX25">
        <v>100</v>
      </c>
      <c r="EE25">
        <v>24085486</v>
      </c>
      <c r="EF25">
        <v>6</v>
      </c>
      <c r="EG25" t="s">
        <v>18</v>
      </c>
      <c r="EH25">
        <v>0</v>
      </c>
      <c r="EI25" t="s">
        <v>3</v>
      </c>
      <c r="EJ25">
        <v>1</v>
      </c>
      <c r="EK25">
        <v>68001</v>
      </c>
      <c r="EL25" t="s">
        <v>19</v>
      </c>
      <c r="EM25" t="s">
        <v>20</v>
      </c>
      <c r="EO25" t="s">
        <v>3</v>
      </c>
      <c r="EQ25">
        <v>0</v>
      </c>
      <c r="ER25">
        <v>1367.32</v>
      </c>
      <c r="ES25">
        <v>0</v>
      </c>
      <c r="ET25">
        <v>887.45</v>
      </c>
      <c r="EU25">
        <v>92.87</v>
      </c>
      <c r="EV25">
        <v>479.87</v>
      </c>
      <c r="EW25">
        <v>68.260000000000005</v>
      </c>
      <c r="EX25">
        <v>9.4</v>
      </c>
      <c r="EY25">
        <v>0</v>
      </c>
      <c r="FQ25">
        <v>0</v>
      </c>
      <c r="FR25">
        <f t="shared" si="42"/>
        <v>0</v>
      </c>
      <c r="FS25">
        <v>0</v>
      </c>
      <c r="FV25" t="s">
        <v>21</v>
      </c>
      <c r="FW25" t="s">
        <v>22</v>
      </c>
      <c r="FX25">
        <v>104</v>
      </c>
      <c r="FY25">
        <v>60</v>
      </c>
      <c r="GA25" t="s">
        <v>3</v>
      </c>
      <c r="GD25">
        <v>0</v>
      </c>
      <c r="GF25">
        <v>-1639231892</v>
      </c>
      <c r="GG25">
        <v>2</v>
      </c>
      <c r="GH25">
        <v>1</v>
      </c>
      <c r="GI25">
        <v>4</v>
      </c>
      <c r="GJ25">
        <v>0</v>
      </c>
      <c r="GK25">
        <f>ROUND(R25*(S12)/100,2)</f>
        <v>0</v>
      </c>
      <c r="GL25">
        <f t="shared" si="43"/>
        <v>0</v>
      </c>
      <c r="GM25">
        <f t="shared" si="44"/>
        <v>26991.84</v>
      </c>
      <c r="GN25">
        <f t="shared" si="45"/>
        <v>26991.84</v>
      </c>
      <c r="GO25">
        <f t="shared" si="46"/>
        <v>0</v>
      </c>
      <c r="GP25">
        <f t="shared" si="47"/>
        <v>0</v>
      </c>
      <c r="GR25">
        <v>0</v>
      </c>
      <c r="GS25">
        <v>3</v>
      </c>
      <c r="GT25">
        <v>0</v>
      </c>
      <c r="GU25" t="s">
        <v>3</v>
      </c>
      <c r="GV25">
        <f t="shared" si="48"/>
        <v>0</v>
      </c>
      <c r="GW25">
        <v>1</v>
      </c>
      <c r="GX25">
        <f t="shared" si="49"/>
        <v>0</v>
      </c>
      <c r="HA25">
        <v>0</v>
      </c>
      <c r="HB25">
        <v>0</v>
      </c>
      <c r="IK25">
        <v>0</v>
      </c>
    </row>
    <row r="26" spans="1:255">
      <c r="A26" s="2">
        <v>17</v>
      </c>
      <c r="B26" s="2">
        <v>1</v>
      </c>
      <c r="C26" s="2">
        <f>ROW(SmtRes!A9)</f>
        <v>9</v>
      </c>
      <c r="D26" s="2">
        <f>ROW(EtalonRes!A9)</f>
        <v>9</v>
      </c>
      <c r="E26" s="2" t="s">
        <v>23</v>
      </c>
      <c r="F26" s="2" t="s">
        <v>24</v>
      </c>
      <c r="G26" s="2" t="s">
        <v>25</v>
      </c>
      <c r="H26" s="2" t="s">
        <v>26</v>
      </c>
      <c r="I26" s="2">
        <f>ROUND(420.25/100,9)</f>
        <v>4.2024999999999997</v>
      </c>
      <c r="J26" s="2">
        <v>0</v>
      </c>
      <c r="K26" s="2"/>
      <c r="L26" s="2"/>
      <c r="M26" s="2"/>
      <c r="N26" s="2"/>
      <c r="O26" s="2">
        <f t="shared" si="14"/>
        <v>486.73</v>
      </c>
      <c r="P26" s="2">
        <f t="shared" si="15"/>
        <v>0</v>
      </c>
      <c r="Q26" s="2">
        <f t="shared" si="16"/>
        <v>0</v>
      </c>
      <c r="R26" s="2">
        <f t="shared" si="17"/>
        <v>0</v>
      </c>
      <c r="S26" s="2">
        <f t="shared" si="18"/>
        <v>486.73</v>
      </c>
      <c r="T26" s="2">
        <f t="shared" si="19"/>
        <v>0</v>
      </c>
      <c r="U26" s="2">
        <f t="shared" si="20"/>
        <v>78.50269999999999</v>
      </c>
      <c r="V26" s="2">
        <f t="shared" si="21"/>
        <v>0</v>
      </c>
      <c r="W26" s="2">
        <f t="shared" si="22"/>
        <v>0</v>
      </c>
      <c r="X26" s="2">
        <f t="shared" si="23"/>
        <v>506.2</v>
      </c>
      <c r="Y26" s="2">
        <f t="shared" si="24"/>
        <v>292.04000000000002</v>
      </c>
      <c r="Z26" s="2"/>
      <c r="AA26" s="2">
        <v>34847864</v>
      </c>
      <c r="AB26" s="2">
        <f t="shared" si="25"/>
        <v>115.82</v>
      </c>
      <c r="AC26" s="2">
        <f t="shared" si="26"/>
        <v>0</v>
      </c>
      <c r="AD26" s="2">
        <f>ROUND((((ET26)-(EU26))+AE26),6)</f>
        <v>0</v>
      </c>
      <c r="AE26" s="2">
        <f t="shared" si="27"/>
        <v>0</v>
      </c>
      <c r="AF26" s="2">
        <f t="shared" si="27"/>
        <v>115.82</v>
      </c>
      <c r="AG26" s="2">
        <f t="shared" si="28"/>
        <v>0</v>
      </c>
      <c r="AH26" s="2">
        <f t="shared" si="29"/>
        <v>18.68</v>
      </c>
      <c r="AI26" s="2">
        <f t="shared" si="29"/>
        <v>0</v>
      </c>
      <c r="AJ26" s="2">
        <f t="shared" si="30"/>
        <v>0</v>
      </c>
      <c r="AK26" s="2">
        <v>115.82</v>
      </c>
      <c r="AL26" s="2">
        <v>0</v>
      </c>
      <c r="AM26" s="2">
        <v>0</v>
      </c>
      <c r="AN26" s="2">
        <v>0</v>
      </c>
      <c r="AO26" s="2">
        <v>115.82</v>
      </c>
      <c r="AP26" s="2">
        <v>0</v>
      </c>
      <c r="AQ26" s="2">
        <v>18.68</v>
      </c>
      <c r="AR26" s="2">
        <v>0</v>
      </c>
      <c r="AS26" s="2">
        <v>0</v>
      </c>
      <c r="AT26" s="2">
        <v>104</v>
      </c>
      <c r="AU26" s="2">
        <v>60</v>
      </c>
      <c r="AV26" s="2">
        <v>1</v>
      </c>
      <c r="AW26" s="2">
        <v>1</v>
      </c>
      <c r="AX26" s="2"/>
      <c r="AY26" s="2"/>
      <c r="AZ26" s="2">
        <v>1</v>
      </c>
      <c r="BA26" s="2">
        <v>1</v>
      </c>
      <c r="BB26" s="2">
        <v>1</v>
      </c>
      <c r="BC26" s="2">
        <v>1</v>
      </c>
      <c r="BD26" s="2" t="s">
        <v>3</v>
      </c>
      <c r="BE26" s="2" t="s">
        <v>3</v>
      </c>
      <c r="BF26" s="2" t="s">
        <v>3</v>
      </c>
      <c r="BG26" s="2" t="s">
        <v>3</v>
      </c>
      <c r="BH26" s="2">
        <v>0</v>
      </c>
      <c r="BI26" s="2">
        <v>1</v>
      </c>
      <c r="BJ26" s="2" t="s">
        <v>27</v>
      </c>
      <c r="BK26" s="2"/>
      <c r="BL26" s="2"/>
      <c r="BM26" s="2">
        <v>68001</v>
      </c>
      <c r="BN26" s="2">
        <v>0</v>
      </c>
      <c r="BO26" s="2" t="s">
        <v>3</v>
      </c>
      <c r="BP26" s="2">
        <v>0</v>
      </c>
      <c r="BQ26" s="2">
        <v>6</v>
      </c>
      <c r="BR26" s="2">
        <v>0</v>
      </c>
      <c r="BS26" s="2">
        <v>1</v>
      </c>
      <c r="BT26" s="2">
        <v>1</v>
      </c>
      <c r="BU26" s="2">
        <v>1</v>
      </c>
      <c r="BV26" s="2">
        <v>1</v>
      </c>
      <c r="BW26" s="2">
        <v>1</v>
      </c>
      <c r="BX26" s="2">
        <v>1</v>
      </c>
      <c r="BY26" s="2" t="s">
        <v>3</v>
      </c>
      <c r="BZ26" s="2">
        <v>104</v>
      </c>
      <c r="CA26" s="2">
        <v>60</v>
      </c>
      <c r="CB26" s="2"/>
      <c r="CC26" s="2"/>
      <c r="CD26" s="2"/>
      <c r="CE26" s="2"/>
      <c r="CF26" s="2">
        <v>0</v>
      </c>
      <c r="CG26" s="2">
        <v>0</v>
      </c>
      <c r="CH26" s="2"/>
      <c r="CI26" s="2"/>
      <c r="CJ26" s="2"/>
      <c r="CK26" s="2"/>
      <c r="CL26" s="2"/>
      <c r="CM26" s="2">
        <v>0</v>
      </c>
      <c r="CN26" s="2" t="s">
        <v>3</v>
      </c>
      <c r="CO26" s="2">
        <v>0</v>
      </c>
      <c r="CP26" s="2">
        <f t="shared" si="31"/>
        <v>486.73</v>
      </c>
      <c r="CQ26" s="2">
        <f t="shared" si="32"/>
        <v>0</v>
      </c>
      <c r="CR26" s="2">
        <f t="shared" si="33"/>
        <v>0</v>
      </c>
      <c r="CS26" s="2">
        <f t="shared" si="34"/>
        <v>0</v>
      </c>
      <c r="CT26" s="2">
        <f t="shared" si="35"/>
        <v>115.82</v>
      </c>
      <c r="CU26" s="2">
        <f t="shared" si="36"/>
        <v>0</v>
      </c>
      <c r="CV26" s="2">
        <f t="shared" si="37"/>
        <v>18.68</v>
      </c>
      <c r="CW26" s="2">
        <f t="shared" si="38"/>
        <v>0</v>
      </c>
      <c r="CX26" s="2">
        <f t="shared" si="39"/>
        <v>0</v>
      </c>
      <c r="CY26" s="2">
        <f t="shared" si="40"/>
        <v>506.19919999999996</v>
      </c>
      <c r="CZ26" s="2">
        <f t="shared" si="41"/>
        <v>292.03800000000001</v>
      </c>
      <c r="DA26" s="2"/>
      <c r="DB26" s="2"/>
      <c r="DC26" s="2" t="s">
        <v>3</v>
      </c>
      <c r="DD26" s="2" t="s">
        <v>3</v>
      </c>
      <c r="DE26" s="2" t="s">
        <v>3</v>
      </c>
      <c r="DF26" s="2" t="s">
        <v>3</v>
      </c>
      <c r="DG26" s="2" t="s">
        <v>3</v>
      </c>
      <c r="DH26" s="2" t="s">
        <v>3</v>
      </c>
      <c r="DI26" s="2" t="s">
        <v>3</v>
      </c>
      <c r="DJ26" s="2" t="s">
        <v>3</v>
      </c>
      <c r="DK26" s="2" t="s">
        <v>3</v>
      </c>
      <c r="DL26" s="2" t="s">
        <v>3</v>
      </c>
      <c r="DM26" s="2" t="s">
        <v>3</v>
      </c>
      <c r="DN26" s="2">
        <v>0</v>
      </c>
      <c r="DO26" s="2">
        <v>0</v>
      </c>
      <c r="DP26" s="2">
        <v>1</v>
      </c>
      <c r="DQ26" s="2">
        <v>1</v>
      </c>
      <c r="DR26" s="2"/>
      <c r="DS26" s="2"/>
      <c r="DT26" s="2"/>
      <c r="DU26" s="2">
        <v>1013</v>
      </c>
      <c r="DV26" s="2" t="s">
        <v>26</v>
      </c>
      <c r="DW26" s="2" t="s">
        <v>26</v>
      </c>
      <c r="DX26" s="2">
        <v>1</v>
      </c>
      <c r="DY26" s="2"/>
      <c r="DZ26" s="2"/>
      <c r="EA26" s="2"/>
      <c r="EB26" s="2"/>
      <c r="EC26" s="2"/>
      <c r="ED26" s="2"/>
      <c r="EE26" s="2">
        <v>24085486</v>
      </c>
      <c r="EF26" s="2">
        <v>6</v>
      </c>
      <c r="EG26" s="2" t="s">
        <v>18</v>
      </c>
      <c r="EH26" s="2">
        <v>0</v>
      </c>
      <c r="EI26" s="2" t="s">
        <v>3</v>
      </c>
      <c r="EJ26" s="2">
        <v>1</v>
      </c>
      <c r="EK26" s="2">
        <v>68001</v>
      </c>
      <c r="EL26" s="2" t="s">
        <v>19</v>
      </c>
      <c r="EM26" s="2" t="s">
        <v>20</v>
      </c>
      <c r="EN26" s="2"/>
      <c r="EO26" s="2" t="s">
        <v>3</v>
      </c>
      <c r="EP26" s="2"/>
      <c r="EQ26" s="2">
        <v>0</v>
      </c>
      <c r="ER26" s="2">
        <v>115.82</v>
      </c>
      <c r="ES26" s="2">
        <v>0</v>
      </c>
      <c r="ET26" s="2">
        <v>0</v>
      </c>
      <c r="EU26" s="2">
        <v>0</v>
      </c>
      <c r="EV26" s="2">
        <v>115.82</v>
      </c>
      <c r="EW26" s="2">
        <v>18.68</v>
      </c>
      <c r="EX26" s="2">
        <v>0</v>
      </c>
      <c r="EY26" s="2">
        <v>0</v>
      </c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>
        <v>0</v>
      </c>
      <c r="FR26" s="2">
        <f t="shared" si="42"/>
        <v>0</v>
      </c>
      <c r="FS26" s="2">
        <v>0</v>
      </c>
      <c r="FT26" s="2"/>
      <c r="FU26" s="2"/>
      <c r="FV26" s="2"/>
      <c r="FW26" s="2"/>
      <c r="FX26" s="2">
        <v>104</v>
      </c>
      <c r="FY26" s="2">
        <v>60</v>
      </c>
      <c r="FZ26" s="2"/>
      <c r="GA26" s="2" t="s">
        <v>3</v>
      </c>
      <c r="GB26" s="2"/>
      <c r="GC26" s="2"/>
      <c r="GD26" s="2">
        <v>0</v>
      </c>
      <c r="GE26" s="2"/>
      <c r="GF26" s="2">
        <v>743926007</v>
      </c>
      <c r="GG26" s="2">
        <v>2</v>
      </c>
      <c r="GH26" s="2">
        <v>1</v>
      </c>
      <c r="GI26" s="2">
        <v>-2</v>
      </c>
      <c r="GJ26" s="2">
        <v>0</v>
      </c>
      <c r="GK26" s="2">
        <f>ROUND(R26*(R12)/100,2)</f>
        <v>0</v>
      </c>
      <c r="GL26" s="2">
        <f t="shared" si="43"/>
        <v>0</v>
      </c>
      <c r="GM26" s="2">
        <f t="shared" si="44"/>
        <v>1284.97</v>
      </c>
      <c r="GN26" s="2">
        <f t="shared" si="45"/>
        <v>1284.97</v>
      </c>
      <c r="GO26" s="2">
        <f t="shared" si="46"/>
        <v>0</v>
      </c>
      <c r="GP26" s="2">
        <f t="shared" si="47"/>
        <v>0</v>
      </c>
      <c r="GQ26" s="2"/>
      <c r="GR26" s="2">
        <v>0</v>
      </c>
      <c r="GS26" s="2">
        <v>3</v>
      </c>
      <c r="GT26" s="2">
        <v>0</v>
      </c>
      <c r="GU26" s="2" t="s">
        <v>3</v>
      </c>
      <c r="GV26" s="2">
        <f t="shared" si="48"/>
        <v>0</v>
      </c>
      <c r="GW26" s="2">
        <v>1</v>
      </c>
      <c r="GX26" s="2">
        <f t="shared" si="49"/>
        <v>0</v>
      </c>
      <c r="GY26" s="2"/>
      <c r="GZ26" s="2"/>
      <c r="HA26" s="2">
        <v>0</v>
      </c>
      <c r="HB26" s="2">
        <v>0</v>
      </c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>
        <v>0</v>
      </c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>
      <c r="A27">
        <v>17</v>
      </c>
      <c r="B27">
        <v>1</v>
      </c>
      <c r="C27">
        <f>ROW(SmtRes!A10)</f>
        <v>10</v>
      </c>
      <c r="D27">
        <f>ROW(EtalonRes!A10)</f>
        <v>10</v>
      </c>
      <c r="E27" t="s">
        <v>23</v>
      </c>
      <c r="F27" t="s">
        <v>24</v>
      </c>
      <c r="G27" t="s">
        <v>25</v>
      </c>
      <c r="H27" t="s">
        <v>26</v>
      </c>
      <c r="I27">
        <f>ROUND(420.25/100,9)</f>
        <v>4.2024999999999997</v>
      </c>
      <c r="J27">
        <v>0</v>
      </c>
      <c r="O27">
        <f t="shared" si="14"/>
        <v>8001.9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8001.9</v>
      </c>
      <c r="T27">
        <f t="shared" si="19"/>
        <v>0</v>
      </c>
      <c r="U27">
        <f t="shared" si="20"/>
        <v>78.50269999999999</v>
      </c>
      <c r="V27">
        <f t="shared" si="21"/>
        <v>0</v>
      </c>
      <c r="W27">
        <f t="shared" si="22"/>
        <v>0</v>
      </c>
      <c r="X27">
        <f t="shared" si="23"/>
        <v>7041.67</v>
      </c>
      <c r="Y27">
        <f t="shared" si="24"/>
        <v>3840.91</v>
      </c>
      <c r="AA27">
        <v>34847877</v>
      </c>
      <c r="AB27">
        <f t="shared" si="25"/>
        <v>115.82</v>
      </c>
      <c r="AC27">
        <f t="shared" si="26"/>
        <v>0</v>
      </c>
      <c r="AD27">
        <f>ROUND((((ET27)-(EU27))+AE27),6)</f>
        <v>0</v>
      </c>
      <c r="AE27">
        <f t="shared" si="27"/>
        <v>0</v>
      </c>
      <c r="AF27">
        <f t="shared" si="27"/>
        <v>115.82</v>
      </c>
      <c r="AG27">
        <f t="shared" si="28"/>
        <v>0</v>
      </c>
      <c r="AH27">
        <f t="shared" si="29"/>
        <v>18.68</v>
      </c>
      <c r="AI27">
        <f t="shared" si="29"/>
        <v>0</v>
      </c>
      <c r="AJ27">
        <f t="shared" si="30"/>
        <v>0</v>
      </c>
      <c r="AK27">
        <v>115.82</v>
      </c>
      <c r="AL27">
        <v>0</v>
      </c>
      <c r="AM27">
        <v>0</v>
      </c>
      <c r="AN27">
        <v>0</v>
      </c>
      <c r="AO27">
        <v>115.82</v>
      </c>
      <c r="AP27">
        <v>0</v>
      </c>
      <c r="AQ27">
        <v>18.68</v>
      </c>
      <c r="AR27">
        <v>0</v>
      </c>
      <c r="AS27">
        <v>0</v>
      </c>
      <c r="AT27">
        <v>88</v>
      </c>
      <c r="AU27">
        <v>48</v>
      </c>
      <c r="AV27">
        <v>1</v>
      </c>
      <c r="AW27">
        <v>1</v>
      </c>
      <c r="AZ27">
        <v>1</v>
      </c>
      <c r="BA27">
        <v>16.440000000000001</v>
      </c>
      <c r="BB27">
        <v>6.21</v>
      </c>
      <c r="BC27">
        <v>5.9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1</v>
      </c>
      <c r="BJ27" t="s">
        <v>27</v>
      </c>
      <c r="BM27">
        <v>68001</v>
      </c>
      <c r="BN27">
        <v>0</v>
      </c>
      <c r="BO27" t="s">
        <v>3</v>
      </c>
      <c r="BP27">
        <v>0</v>
      </c>
      <c r="BQ27">
        <v>6</v>
      </c>
      <c r="BR27">
        <v>0</v>
      </c>
      <c r="BS27">
        <v>16.440000000000001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104</v>
      </c>
      <c r="CA27">
        <v>60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1"/>
        <v>8001.9</v>
      </c>
      <c r="CQ27">
        <f t="shared" si="32"/>
        <v>0</v>
      </c>
      <c r="CR27">
        <f t="shared" si="33"/>
        <v>0</v>
      </c>
      <c r="CS27">
        <f t="shared" si="34"/>
        <v>0</v>
      </c>
      <c r="CT27">
        <f t="shared" si="35"/>
        <v>1904.0808</v>
      </c>
      <c r="CU27">
        <f t="shared" si="36"/>
        <v>0</v>
      </c>
      <c r="CV27">
        <f t="shared" si="37"/>
        <v>18.68</v>
      </c>
      <c r="CW27">
        <f t="shared" si="38"/>
        <v>0</v>
      </c>
      <c r="CX27">
        <f t="shared" si="39"/>
        <v>0</v>
      </c>
      <c r="CY27">
        <f t="shared" si="40"/>
        <v>7041.6719999999996</v>
      </c>
      <c r="CZ27">
        <f t="shared" si="41"/>
        <v>3840.9119999999994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1013</v>
      </c>
      <c r="DV27" t="s">
        <v>26</v>
      </c>
      <c r="DW27" t="s">
        <v>26</v>
      </c>
      <c r="DX27">
        <v>1</v>
      </c>
      <c r="EE27">
        <v>24085486</v>
      </c>
      <c r="EF27">
        <v>6</v>
      </c>
      <c r="EG27" t="s">
        <v>18</v>
      </c>
      <c r="EH27">
        <v>0</v>
      </c>
      <c r="EI27" t="s">
        <v>3</v>
      </c>
      <c r="EJ27">
        <v>1</v>
      </c>
      <c r="EK27">
        <v>68001</v>
      </c>
      <c r="EL27" t="s">
        <v>19</v>
      </c>
      <c r="EM27" t="s">
        <v>20</v>
      </c>
      <c r="EO27" t="s">
        <v>3</v>
      </c>
      <c r="EQ27">
        <v>0</v>
      </c>
      <c r="ER27">
        <v>115.82</v>
      </c>
      <c r="ES27">
        <v>0</v>
      </c>
      <c r="ET27">
        <v>0</v>
      </c>
      <c r="EU27">
        <v>0</v>
      </c>
      <c r="EV27">
        <v>115.82</v>
      </c>
      <c r="EW27">
        <v>18.68</v>
      </c>
      <c r="EX27">
        <v>0</v>
      </c>
      <c r="EY27">
        <v>0</v>
      </c>
      <c r="FQ27">
        <v>0</v>
      </c>
      <c r="FR27">
        <f t="shared" si="42"/>
        <v>0</v>
      </c>
      <c r="FS27">
        <v>0</v>
      </c>
      <c r="FV27" t="s">
        <v>21</v>
      </c>
      <c r="FW27" t="s">
        <v>22</v>
      </c>
      <c r="FX27">
        <v>104</v>
      </c>
      <c r="FY27">
        <v>60</v>
      </c>
      <c r="GA27" t="s">
        <v>3</v>
      </c>
      <c r="GD27">
        <v>0</v>
      </c>
      <c r="GF27">
        <v>743926007</v>
      </c>
      <c r="GG27">
        <v>2</v>
      </c>
      <c r="GH27">
        <v>1</v>
      </c>
      <c r="GI27">
        <v>4</v>
      </c>
      <c r="GJ27">
        <v>0</v>
      </c>
      <c r="GK27">
        <f>ROUND(R27*(S12)/100,2)</f>
        <v>0</v>
      </c>
      <c r="GL27">
        <f t="shared" si="43"/>
        <v>0</v>
      </c>
      <c r="GM27">
        <f t="shared" si="44"/>
        <v>18884.48</v>
      </c>
      <c r="GN27">
        <f t="shared" si="45"/>
        <v>18884.48</v>
      </c>
      <c r="GO27">
        <f t="shared" si="46"/>
        <v>0</v>
      </c>
      <c r="GP27">
        <f t="shared" si="47"/>
        <v>0</v>
      </c>
      <c r="GR27">
        <v>0</v>
      </c>
      <c r="GS27">
        <v>3</v>
      </c>
      <c r="GT27">
        <v>0</v>
      </c>
      <c r="GU27" t="s">
        <v>3</v>
      </c>
      <c r="GV27">
        <f t="shared" si="48"/>
        <v>0</v>
      </c>
      <c r="GW27">
        <v>1</v>
      </c>
      <c r="GX27">
        <f t="shared" si="49"/>
        <v>0</v>
      </c>
      <c r="HA27">
        <v>0</v>
      </c>
      <c r="HB27">
        <v>0</v>
      </c>
      <c r="IK27">
        <v>0</v>
      </c>
    </row>
    <row r="28" spans="1:255">
      <c r="A28" s="2">
        <v>17</v>
      </c>
      <c r="B28" s="2">
        <v>1</v>
      </c>
      <c r="C28" s="2">
        <f>ROW(SmtRes!A15)</f>
        <v>15</v>
      </c>
      <c r="D28" s="2">
        <f>ROW(EtalonRes!A15)</f>
        <v>15</v>
      </c>
      <c r="E28" s="2" t="s">
        <v>28</v>
      </c>
      <c r="F28" s="2" t="s">
        <v>29</v>
      </c>
      <c r="G28" s="2" t="s">
        <v>30</v>
      </c>
      <c r="H28" s="2" t="s">
        <v>31</v>
      </c>
      <c r="I28" s="2">
        <f>ROUND(54.98/1000,9)</f>
        <v>5.4980000000000001E-2</v>
      </c>
      <c r="J28" s="2">
        <v>0</v>
      </c>
      <c r="K28" s="2"/>
      <c r="L28" s="2"/>
      <c r="M28" s="2"/>
      <c r="N28" s="2"/>
      <c r="O28" s="2">
        <f t="shared" si="14"/>
        <v>434.82</v>
      </c>
      <c r="P28" s="2">
        <f t="shared" si="15"/>
        <v>0.27</v>
      </c>
      <c r="Q28" s="2">
        <f t="shared" si="16"/>
        <v>421.98</v>
      </c>
      <c r="R28" s="2">
        <f t="shared" si="17"/>
        <v>70.459999999999994</v>
      </c>
      <c r="S28" s="2">
        <f t="shared" si="18"/>
        <v>12.57</v>
      </c>
      <c r="T28" s="2">
        <f t="shared" si="19"/>
        <v>0</v>
      </c>
      <c r="U28" s="2">
        <f t="shared" si="20"/>
        <v>1.9802696400000002</v>
      </c>
      <c r="V28" s="2">
        <f t="shared" si="21"/>
        <v>6.1914352500000005</v>
      </c>
      <c r="W28" s="2">
        <f t="shared" si="22"/>
        <v>0</v>
      </c>
      <c r="X28" s="2">
        <f t="shared" si="23"/>
        <v>78.88</v>
      </c>
      <c r="Y28" s="2">
        <f t="shared" si="24"/>
        <v>35.700000000000003</v>
      </c>
      <c r="Z28" s="2"/>
      <c r="AA28" s="2">
        <v>34847864</v>
      </c>
      <c r="AB28" s="2">
        <f t="shared" si="25"/>
        <v>7908.6395000000002</v>
      </c>
      <c r="AC28" s="2">
        <f t="shared" si="26"/>
        <v>4.84</v>
      </c>
      <c r="AD28" s="2">
        <f>ROUND(((((ET28*1.25))-((EU28*1.25)))+AE28),6)</f>
        <v>7675.0874999999996</v>
      </c>
      <c r="AE28" s="2">
        <f>ROUND(((EU28*1.25)),6)</f>
        <v>1281.5250000000001</v>
      </c>
      <c r="AF28" s="2">
        <f>ROUND(((EV28*1.15)),6)</f>
        <v>228.71199999999999</v>
      </c>
      <c r="AG28" s="2">
        <f t="shared" si="28"/>
        <v>0</v>
      </c>
      <c r="AH28" s="2">
        <f>((EW28*1.15))</f>
        <v>36.018000000000001</v>
      </c>
      <c r="AI28" s="2">
        <f>((EX28*1.25))</f>
        <v>112.61250000000001</v>
      </c>
      <c r="AJ28" s="2">
        <f t="shared" si="30"/>
        <v>0</v>
      </c>
      <c r="AK28" s="2">
        <v>6343.79</v>
      </c>
      <c r="AL28" s="2">
        <v>4.84</v>
      </c>
      <c r="AM28" s="2">
        <v>6140.07</v>
      </c>
      <c r="AN28" s="2">
        <v>1025.22</v>
      </c>
      <c r="AO28" s="2">
        <v>198.88</v>
      </c>
      <c r="AP28" s="2">
        <v>0</v>
      </c>
      <c r="AQ28" s="2">
        <v>31.32</v>
      </c>
      <c r="AR28" s="2">
        <v>90.09</v>
      </c>
      <c r="AS28" s="2">
        <v>0</v>
      </c>
      <c r="AT28" s="2">
        <v>95</v>
      </c>
      <c r="AU28" s="2">
        <v>43</v>
      </c>
      <c r="AV28" s="2">
        <v>1</v>
      </c>
      <c r="AW28" s="2">
        <v>1</v>
      </c>
      <c r="AX28" s="2"/>
      <c r="AY28" s="2"/>
      <c r="AZ28" s="2">
        <v>1</v>
      </c>
      <c r="BA28" s="2">
        <v>1</v>
      </c>
      <c r="BB28" s="2">
        <v>1</v>
      </c>
      <c r="BC28" s="2">
        <v>1</v>
      </c>
      <c r="BD28" s="2" t="s">
        <v>3</v>
      </c>
      <c r="BE28" s="2" t="s">
        <v>3</v>
      </c>
      <c r="BF28" s="2" t="s">
        <v>3</v>
      </c>
      <c r="BG28" s="2" t="s">
        <v>3</v>
      </c>
      <c r="BH28" s="2">
        <v>0</v>
      </c>
      <c r="BI28" s="2">
        <v>1</v>
      </c>
      <c r="BJ28" s="2" t="s">
        <v>32</v>
      </c>
      <c r="BK28" s="2"/>
      <c r="BL28" s="2"/>
      <c r="BM28" s="2">
        <v>1001</v>
      </c>
      <c r="BN28" s="2">
        <v>0</v>
      </c>
      <c r="BO28" s="2" t="s">
        <v>3</v>
      </c>
      <c r="BP28" s="2">
        <v>0</v>
      </c>
      <c r="BQ28" s="2">
        <v>2</v>
      </c>
      <c r="BR28" s="2">
        <v>0</v>
      </c>
      <c r="BS28" s="2">
        <v>1</v>
      </c>
      <c r="BT28" s="2">
        <v>1</v>
      </c>
      <c r="BU28" s="2">
        <v>1</v>
      </c>
      <c r="BV28" s="2">
        <v>1</v>
      </c>
      <c r="BW28" s="2">
        <v>1</v>
      </c>
      <c r="BX28" s="2">
        <v>1</v>
      </c>
      <c r="BY28" s="2" t="s">
        <v>3</v>
      </c>
      <c r="BZ28" s="2">
        <v>95</v>
      </c>
      <c r="CA28" s="2">
        <v>50</v>
      </c>
      <c r="CB28" s="2"/>
      <c r="CC28" s="2"/>
      <c r="CD28" s="2"/>
      <c r="CE28" s="2"/>
      <c r="CF28" s="2">
        <v>0</v>
      </c>
      <c r="CG28" s="2">
        <v>0</v>
      </c>
      <c r="CH28" s="2"/>
      <c r="CI28" s="2"/>
      <c r="CJ28" s="2"/>
      <c r="CK28" s="2"/>
      <c r="CL28" s="2"/>
      <c r="CM28" s="2">
        <v>0</v>
      </c>
      <c r="CN28" s="2" t="s">
        <v>3</v>
      </c>
      <c r="CO28" s="2">
        <v>0</v>
      </c>
      <c r="CP28" s="2">
        <f t="shared" si="31"/>
        <v>434.82</v>
      </c>
      <c r="CQ28" s="2">
        <f t="shared" si="32"/>
        <v>4.84</v>
      </c>
      <c r="CR28" s="2">
        <f t="shared" si="33"/>
        <v>7675.0874999999996</v>
      </c>
      <c r="CS28" s="2">
        <f t="shared" si="34"/>
        <v>1281.5250000000001</v>
      </c>
      <c r="CT28" s="2">
        <f t="shared" si="35"/>
        <v>228.71199999999999</v>
      </c>
      <c r="CU28" s="2">
        <f t="shared" si="36"/>
        <v>0</v>
      </c>
      <c r="CV28" s="2">
        <f t="shared" si="37"/>
        <v>36.018000000000001</v>
      </c>
      <c r="CW28" s="2">
        <f t="shared" si="38"/>
        <v>112.61250000000001</v>
      </c>
      <c r="CX28" s="2">
        <f t="shared" si="39"/>
        <v>0</v>
      </c>
      <c r="CY28" s="2">
        <f t="shared" si="40"/>
        <v>78.878500000000003</v>
      </c>
      <c r="CZ28" s="2">
        <f t="shared" si="41"/>
        <v>35.7029</v>
      </c>
      <c r="DA28" s="2"/>
      <c r="DB28" s="2"/>
      <c r="DC28" s="2" t="s">
        <v>3</v>
      </c>
      <c r="DD28" s="2" t="s">
        <v>3</v>
      </c>
      <c r="DE28" s="2" t="s">
        <v>11</v>
      </c>
      <c r="DF28" s="2" t="s">
        <v>11</v>
      </c>
      <c r="DG28" s="2" t="s">
        <v>12</v>
      </c>
      <c r="DH28" s="2" t="s">
        <v>3</v>
      </c>
      <c r="DI28" s="2" t="s">
        <v>12</v>
      </c>
      <c r="DJ28" s="2" t="s">
        <v>11</v>
      </c>
      <c r="DK28" s="2" t="s">
        <v>3</v>
      </c>
      <c r="DL28" s="2" t="s">
        <v>3</v>
      </c>
      <c r="DM28" s="2" t="s">
        <v>3</v>
      </c>
      <c r="DN28" s="2">
        <v>0</v>
      </c>
      <c r="DO28" s="2">
        <v>0</v>
      </c>
      <c r="DP28" s="2">
        <v>1</v>
      </c>
      <c r="DQ28" s="2">
        <v>1</v>
      </c>
      <c r="DR28" s="2"/>
      <c r="DS28" s="2"/>
      <c r="DT28" s="2"/>
      <c r="DU28" s="2">
        <v>1007</v>
      </c>
      <c r="DV28" s="2" t="s">
        <v>31</v>
      </c>
      <c r="DW28" s="2" t="s">
        <v>31</v>
      </c>
      <c r="DX28" s="2">
        <v>1000</v>
      </c>
      <c r="DY28" s="2"/>
      <c r="DZ28" s="2"/>
      <c r="EA28" s="2"/>
      <c r="EB28" s="2"/>
      <c r="EC28" s="2"/>
      <c r="ED28" s="2"/>
      <c r="EE28" s="2">
        <v>24085333</v>
      </c>
      <c r="EF28" s="2">
        <v>2</v>
      </c>
      <c r="EG28" s="2" t="s">
        <v>33</v>
      </c>
      <c r="EH28" s="2">
        <v>0</v>
      </c>
      <c r="EI28" s="2" t="s">
        <v>3</v>
      </c>
      <c r="EJ28" s="2">
        <v>1</v>
      </c>
      <c r="EK28" s="2">
        <v>1001</v>
      </c>
      <c r="EL28" s="2" t="s">
        <v>34</v>
      </c>
      <c r="EM28" s="2" t="s">
        <v>35</v>
      </c>
      <c r="EN28" s="2"/>
      <c r="EO28" s="2" t="s">
        <v>3</v>
      </c>
      <c r="EP28" s="2"/>
      <c r="EQ28" s="2">
        <v>0</v>
      </c>
      <c r="ER28" s="2">
        <v>6343.79</v>
      </c>
      <c r="ES28" s="2">
        <v>4.84</v>
      </c>
      <c r="ET28" s="2">
        <v>6140.07</v>
      </c>
      <c r="EU28" s="2">
        <v>1025.22</v>
      </c>
      <c r="EV28" s="2">
        <v>198.88</v>
      </c>
      <c r="EW28" s="2">
        <v>31.32</v>
      </c>
      <c r="EX28" s="2">
        <v>90.09</v>
      </c>
      <c r="EY28" s="2">
        <v>0</v>
      </c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>
        <v>0</v>
      </c>
      <c r="FR28" s="2">
        <f t="shared" si="42"/>
        <v>0</v>
      </c>
      <c r="FS28" s="2">
        <v>0</v>
      </c>
      <c r="FT28" s="2"/>
      <c r="FU28" s="2" t="s">
        <v>21</v>
      </c>
      <c r="FV28" s="2"/>
      <c r="FW28" s="2"/>
      <c r="FX28" s="2">
        <v>95</v>
      </c>
      <c r="FY28" s="2">
        <v>42.5</v>
      </c>
      <c r="FZ28" s="2"/>
      <c r="GA28" s="2" t="s">
        <v>3</v>
      </c>
      <c r="GB28" s="2"/>
      <c r="GC28" s="2"/>
      <c r="GD28" s="2">
        <v>0</v>
      </c>
      <c r="GE28" s="2"/>
      <c r="GF28" s="2">
        <v>520629100</v>
      </c>
      <c r="GG28" s="2">
        <v>2</v>
      </c>
      <c r="GH28" s="2">
        <v>1</v>
      </c>
      <c r="GI28" s="2">
        <v>-2</v>
      </c>
      <c r="GJ28" s="2">
        <v>0</v>
      </c>
      <c r="GK28" s="2">
        <f>ROUND(R28*(R12)/100,2)</f>
        <v>0</v>
      </c>
      <c r="GL28" s="2">
        <f t="shared" si="43"/>
        <v>0</v>
      </c>
      <c r="GM28" s="2">
        <f t="shared" si="44"/>
        <v>549.4</v>
      </c>
      <c r="GN28" s="2">
        <f t="shared" si="45"/>
        <v>549.4</v>
      </c>
      <c r="GO28" s="2">
        <f t="shared" si="46"/>
        <v>0</v>
      </c>
      <c r="GP28" s="2">
        <f t="shared" si="47"/>
        <v>0</v>
      </c>
      <c r="GQ28" s="2"/>
      <c r="GR28" s="2">
        <v>0</v>
      </c>
      <c r="GS28" s="2">
        <v>3</v>
      </c>
      <c r="GT28" s="2">
        <v>0</v>
      </c>
      <c r="GU28" s="2" t="s">
        <v>3</v>
      </c>
      <c r="GV28" s="2">
        <f t="shared" si="48"/>
        <v>0</v>
      </c>
      <c r="GW28" s="2">
        <v>1</v>
      </c>
      <c r="GX28" s="2">
        <f t="shared" si="49"/>
        <v>0</v>
      </c>
      <c r="GY28" s="2"/>
      <c r="GZ28" s="2"/>
      <c r="HA28" s="2">
        <v>0</v>
      </c>
      <c r="HB28" s="2">
        <v>0</v>
      </c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>
        <v>0</v>
      </c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>
      <c r="A29">
        <v>17</v>
      </c>
      <c r="B29">
        <v>1</v>
      </c>
      <c r="C29">
        <f>ROW(SmtRes!A20)</f>
        <v>20</v>
      </c>
      <c r="D29">
        <f>ROW(EtalonRes!A20)</f>
        <v>20</v>
      </c>
      <c r="E29" t="s">
        <v>28</v>
      </c>
      <c r="F29" t="s">
        <v>29</v>
      </c>
      <c r="G29" t="s">
        <v>30</v>
      </c>
      <c r="H29" t="s">
        <v>31</v>
      </c>
      <c r="I29">
        <f>ROUND(54.98/1000,9)</f>
        <v>5.4980000000000001E-2</v>
      </c>
      <c r="J29">
        <v>0</v>
      </c>
      <c r="O29">
        <f t="shared" si="14"/>
        <v>2828.77</v>
      </c>
      <c r="P29">
        <f t="shared" si="15"/>
        <v>1.57</v>
      </c>
      <c r="Q29">
        <f t="shared" si="16"/>
        <v>2620.4699999999998</v>
      </c>
      <c r="R29">
        <f t="shared" si="17"/>
        <v>1158.33</v>
      </c>
      <c r="S29">
        <f t="shared" si="18"/>
        <v>206.73</v>
      </c>
      <c r="T29">
        <f t="shared" si="19"/>
        <v>0</v>
      </c>
      <c r="U29">
        <f t="shared" si="20"/>
        <v>1.9802696400000002</v>
      </c>
      <c r="V29">
        <f t="shared" si="21"/>
        <v>6.1914352500000005</v>
      </c>
      <c r="W29">
        <f t="shared" si="22"/>
        <v>0</v>
      </c>
      <c r="X29">
        <f t="shared" si="23"/>
        <v>1105.7</v>
      </c>
      <c r="Y29">
        <f t="shared" si="24"/>
        <v>464.12</v>
      </c>
      <c r="AA29">
        <v>34847877</v>
      </c>
      <c r="AB29">
        <f t="shared" si="25"/>
        <v>7908.6395000000002</v>
      </c>
      <c r="AC29">
        <f t="shared" si="26"/>
        <v>4.84</v>
      </c>
      <c r="AD29">
        <f>ROUND(((((ET29*1.25))-((EU29*1.25)))+AE29),6)</f>
        <v>7675.0874999999996</v>
      </c>
      <c r="AE29">
        <f>ROUND(((EU29*1.25)),6)</f>
        <v>1281.5250000000001</v>
      </c>
      <c r="AF29">
        <f>ROUND(((EV29*1.15)),6)</f>
        <v>228.71199999999999</v>
      </c>
      <c r="AG29">
        <f t="shared" si="28"/>
        <v>0</v>
      </c>
      <c r="AH29">
        <f>((EW29*1.15))</f>
        <v>36.018000000000001</v>
      </c>
      <c r="AI29">
        <f>((EX29*1.25))</f>
        <v>112.61250000000001</v>
      </c>
      <c r="AJ29">
        <f t="shared" si="30"/>
        <v>0</v>
      </c>
      <c r="AK29">
        <v>6343.79</v>
      </c>
      <c r="AL29">
        <v>4.84</v>
      </c>
      <c r="AM29">
        <v>6140.07</v>
      </c>
      <c r="AN29">
        <v>1025.22</v>
      </c>
      <c r="AO29">
        <v>198.88</v>
      </c>
      <c r="AP29">
        <v>0</v>
      </c>
      <c r="AQ29">
        <v>31.32</v>
      </c>
      <c r="AR29">
        <v>90.09</v>
      </c>
      <c r="AS29">
        <v>0</v>
      </c>
      <c r="AT29">
        <v>81</v>
      </c>
      <c r="AU29">
        <v>34</v>
      </c>
      <c r="AV29">
        <v>1</v>
      </c>
      <c r="AW29">
        <v>1</v>
      </c>
      <c r="AZ29">
        <v>1</v>
      </c>
      <c r="BA29">
        <v>16.440000000000001</v>
      </c>
      <c r="BB29">
        <v>6.21</v>
      </c>
      <c r="BC29">
        <v>5.9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32</v>
      </c>
      <c r="BM29">
        <v>1001</v>
      </c>
      <c r="BN29">
        <v>0</v>
      </c>
      <c r="BO29" t="s">
        <v>3</v>
      </c>
      <c r="BP29">
        <v>0</v>
      </c>
      <c r="BQ29">
        <v>2</v>
      </c>
      <c r="BR29">
        <v>0</v>
      </c>
      <c r="BS29">
        <v>16.440000000000001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50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1"/>
        <v>2828.77</v>
      </c>
      <c r="CQ29">
        <f t="shared" si="32"/>
        <v>28.556000000000001</v>
      </c>
      <c r="CR29">
        <f t="shared" si="33"/>
        <v>47662.293374999994</v>
      </c>
      <c r="CS29">
        <f t="shared" si="34"/>
        <v>21068.271000000004</v>
      </c>
      <c r="CT29">
        <f t="shared" si="35"/>
        <v>3760.0252800000003</v>
      </c>
      <c r="CU29">
        <f t="shared" si="36"/>
        <v>0</v>
      </c>
      <c r="CV29">
        <f t="shared" si="37"/>
        <v>36.018000000000001</v>
      </c>
      <c r="CW29">
        <f t="shared" si="38"/>
        <v>112.61250000000001</v>
      </c>
      <c r="CX29">
        <f t="shared" si="39"/>
        <v>0</v>
      </c>
      <c r="CY29">
        <f t="shared" si="40"/>
        <v>1105.6985999999999</v>
      </c>
      <c r="CZ29">
        <f t="shared" si="41"/>
        <v>464.12040000000002</v>
      </c>
      <c r="DC29" t="s">
        <v>3</v>
      </c>
      <c r="DD29" t="s">
        <v>3</v>
      </c>
      <c r="DE29" t="s">
        <v>11</v>
      </c>
      <c r="DF29" t="s">
        <v>11</v>
      </c>
      <c r="DG29" t="s">
        <v>12</v>
      </c>
      <c r="DH29" t="s">
        <v>3</v>
      </c>
      <c r="DI29" t="s">
        <v>12</v>
      </c>
      <c r="DJ29" t="s">
        <v>11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1007</v>
      </c>
      <c r="DV29" t="s">
        <v>31</v>
      </c>
      <c r="DW29" t="s">
        <v>31</v>
      </c>
      <c r="DX29">
        <v>1000</v>
      </c>
      <c r="EE29">
        <v>24085333</v>
      </c>
      <c r="EF29">
        <v>2</v>
      </c>
      <c r="EG29" t="s">
        <v>33</v>
      </c>
      <c r="EH29">
        <v>0</v>
      </c>
      <c r="EI29" t="s">
        <v>3</v>
      </c>
      <c r="EJ29">
        <v>1</v>
      </c>
      <c r="EK29">
        <v>1001</v>
      </c>
      <c r="EL29" t="s">
        <v>34</v>
      </c>
      <c r="EM29" t="s">
        <v>35</v>
      </c>
      <c r="EO29" t="s">
        <v>3</v>
      </c>
      <c r="EQ29">
        <v>0</v>
      </c>
      <c r="ER29">
        <v>6343.79</v>
      </c>
      <c r="ES29">
        <v>4.84</v>
      </c>
      <c r="ET29">
        <v>6140.07</v>
      </c>
      <c r="EU29">
        <v>1025.22</v>
      </c>
      <c r="EV29">
        <v>198.88</v>
      </c>
      <c r="EW29">
        <v>31.32</v>
      </c>
      <c r="EX29">
        <v>90.09</v>
      </c>
      <c r="EY29">
        <v>0</v>
      </c>
      <c r="FQ29">
        <v>0</v>
      </c>
      <c r="FR29">
        <f t="shared" si="42"/>
        <v>0</v>
      </c>
      <c r="FS29">
        <v>0</v>
      </c>
      <c r="FU29" t="s">
        <v>21</v>
      </c>
      <c r="FV29" t="s">
        <v>21</v>
      </c>
      <c r="FW29" t="s">
        <v>22</v>
      </c>
      <c r="FX29">
        <v>95</v>
      </c>
      <c r="FY29">
        <v>42.5</v>
      </c>
      <c r="GA29" t="s">
        <v>3</v>
      </c>
      <c r="GD29">
        <v>0</v>
      </c>
      <c r="GF29">
        <v>520629100</v>
      </c>
      <c r="GG29">
        <v>2</v>
      </c>
      <c r="GH29">
        <v>1</v>
      </c>
      <c r="GI29">
        <v>4</v>
      </c>
      <c r="GJ29">
        <v>0</v>
      </c>
      <c r="GK29">
        <f>ROUND(R29*(S12)/100,2)</f>
        <v>0</v>
      </c>
      <c r="GL29">
        <f t="shared" si="43"/>
        <v>0</v>
      </c>
      <c r="GM29">
        <f t="shared" si="44"/>
        <v>4398.59</v>
      </c>
      <c r="GN29">
        <f t="shared" si="45"/>
        <v>4398.59</v>
      </c>
      <c r="GO29">
        <f t="shared" si="46"/>
        <v>0</v>
      </c>
      <c r="GP29">
        <f t="shared" si="47"/>
        <v>0</v>
      </c>
      <c r="GR29">
        <v>0</v>
      </c>
      <c r="GS29">
        <v>3</v>
      </c>
      <c r="GT29">
        <v>0</v>
      </c>
      <c r="GU29" t="s">
        <v>3</v>
      </c>
      <c r="GV29">
        <f t="shared" si="48"/>
        <v>0</v>
      </c>
      <c r="GW29">
        <v>1</v>
      </c>
      <c r="GX29">
        <f t="shared" si="49"/>
        <v>0</v>
      </c>
      <c r="HA29">
        <v>0</v>
      </c>
      <c r="HB29">
        <v>0</v>
      </c>
      <c r="IK29">
        <v>0</v>
      </c>
    </row>
    <row r="30" spans="1:255">
      <c r="A30" s="2">
        <v>17</v>
      </c>
      <c r="B30" s="2">
        <v>1</v>
      </c>
      <c r="C30" s="2"/>
      <c r="D30" s="2"/>
      <c r="E30" s="2" t="s">
        <v>36</v>
      </c>
      <c r="F30" s="2" t="s">
        <v>37</v>
      </c>
      <c r="G30" s="2" t="s">
        <v>38</v>
      </c>
      <c r="H30" s="2" t="s">
        <v>39</v>
      </c>
      <c r="I30" s="2">
        <v>87.417000000000002</v>
      </c>
      <c r="J30" s="2">
        <v>0</v>
      </c>
      <c r="K30" s="2"/>
      <c r="L30" s="2"/>
      <c r="M30" s="2"/>
      <c r="N30" s="2"/>
      <c r="O30" s="2">
        <f t="shared" si="14"/>
        <v>581.32000000000005</v>
      </c>
      <c r="P30" s="2">
        <f t="shared" si="15"/>
        <v>0</v>
      </c>
      <c r="Q30" s="2">
        <f t="shared" si="16"/>
        <v>581.32000000000005</v>
      </c>
      <c r="R30" s="2">
        <f t="shared" si="17"/>
        <v>0</v>
      </c>
      <c r="S30" s="2">
        <f t="shared" si="18"/>
        <v>0</v>
      </c>
      <c r="T30" s="2">
        <f t="shared" si="19"/>
        <v>0</v>
      </c>
      <c r="U30" s="2">
        <f t="shared" si="20"/>
        <v>0</v>
      </c>
      <c r="V30" s="2">
        <f t="shared" si="21"/>
        <v>0</v>
      </c>
      <c r="W30" s="2">
        <f t="shared" si="22"/>
        <v>0</v>
      </c>
      <c r="X30" s="2">
        <f t="shared" si="23"/>
        <v>0</v>
      </c>
      <c r="Y30" s="2">
        <f t="shared" si="24"/>
        <v>0</v>
      </c>
      <c r="Z30" s="2"/>
      <c r="AA30" s="2">
        <v>34847864</v>
      </c>
      <c r="AB30" s="2">
        <f t="shared" si="25"/>
        <v>6.65</v>
      </c>
      <c r="AC30" s="2">
        <f t="shared" si="26"/>
        <v>0</v>
      </c>
      <c r="AD30" s="2">
        <f>ROUND(((ET30)+ROUND(((EU30)*1.85),2)),6)</f>
        <v>6.65</v>
      </c>
      <c r="AE30" s="2">
        <f>ROUND(((EU30)+ROUND(((EU30)*1.85),2)),6)</f>
        <v>0</v>
      </c>
      <c r="AF30" s="2">
        <f>ROUND(((EV30)+ROUND(((EV30)*1.85),2)),6)</f>
        <v>0</v>
      </c>
      <c r="AG30" s="2">
        <f t="shared" si="28"/>
        <v>0</v>
      </c>
      <c r="AH30" s="2">
        <f t="shared" ref="AH30:AI35" si="50">(EW30)</f>
        <v>0</v>
      </c>
      <c r="AI30" s="2">
        <f t="shared" si="50"/>
        <v>0</v>
      </c>
      <c r="AJ30" s="2">
        <f t="shared" si="30"/>
        <v>0</v>
      </c>
      <c r="AK30" s="2">
        <v>6.65</v>
      </c>
      <c r="AL30" s="2">
        <v>0</v>
      </c>
      <c r="AM30" s="2">
        <v>6.65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1</v>
      </c>
      <c r="AW30" s="2">
        <v>1</v>
      </c>
      <c r="AX30" s="2"/>
      <c r="AY30" s="2"/>
      <c r="AZ30" s="2">
        <v>1</v>
      </c>
      <c r="BA30" s="2">
        <v>1</v>
      </c>
      <c r="BB30" s="2">
        <v>1</v>
      </c>
      <c r="BC30" s="2">
        <v>1</v>
      </c>
      <c r="BD30" s="2" t="s">
        <v>3</v>
      </c>
      <c r="BE30" s="2" t="s">
        <v>3</v>
      </c>
      <c r="BF30" s="2" t="s">
        <v>3</v>
      </c>
      <c r="BG30" s="2" t="s">
        <v>3</v>
      </c>
      <c r="BH30" s="2">
        <v>0</v>
      </c>
      <c r="BI30" s="2">
        <v>1</v>
      </c>
      <c r="BJ30" s="2" t="s">
        <v>40</v>
      </c>
      <c r="BK30" s="2"/>
      <c r="BL30" s="2"/>
      <c r="BM30" s="2">
        <v>700001</v>
      </c>
      <c r="BN30" s="2">
        <v>0</v>
      </c>
      <c r="BO30" s="2" t="s">
        <v>3</v>
      </c>
      <c r="BP30" s="2">
        <v>0</v>
      </c>
      <c r="BQ30" s="2">
        <v>10</v>
      </c>
      <c r="BR30" s="2">
        <v>0</v>
      </c>
      <c r="BS30" s="2">
        <v>1</v>
      </c>
      <c r="BT30" s="2">
        <v>1</v>
      </c>
      <c r="BU30" s="2">
        <v>1</v>
      </c>
      <c r="BV30" s="2">
        <v>1</v>
      </c>
      <c r="BW30" s="2">
        <v>1</v>
      </c>
      <c r="BX30" s="2">
        <v>1</v>
      </c>
      <c r="BY30" s="2" t="s">
        <v>3</v>
      </c>
      <c r="BZ30" s="2">
        <v>0</v>
      </c>
      <c r="CA30" s="2">
        <v>0</v>
      </c>
      <c r="CB30" s="2"/>
      <c r="CC30" s="2"/>
      <c r="CD30" s="2"/>
      <c r="CE30" s="2"/>
      <c r="CF30" s="2">
        <v>0</v>
      </c>
      <c r="CG30" s="2">
        <v>0</v>
      </c>
      <c r="CH30" s="2"/>
      <c r="CI30" s="2"/>
      <c r="CJ30" s="2"/>
      <c r="CK30" s="2"/>
      <c r="CL30" s="2"/>
      <c r="CM30" s="2">
        <v>0</v>
      </c>
      <c r="CN30" s="2" t="s">
        <v>3</v>
      </c>
      <c r="CO30" s="2">
        <v>0</v>
      </c>
      <c r="CP30" s="2">
        <f t="shared" si="31"/>
        <v>581.32000000000005</v>
      </c>
      <c r="CQ30" s="2">
        <f t="shared" si="32"/>
        <v>0</v>
      </c>
      <c r="CR30" s="2">
        <f t="shared" si="33"/>
        <v>6.65</v>
      </c>
      <c r="CS30" s="2">
        <f t="shared" si="34"/>
        <v>0</v>
      </c>
      <c r="CT30" s="2">
        <f t="shared" si="35"/>
        <v>0</v>
      </c>
      <c r="CU30" s="2">
        <f t="shared" si="36"/>
        <v>0</v>
      </c>
      <c r="CV30" s="2">
        <f t="shared" si="37"/>
        <v>0</v>
      </c>
      <c r="CW30" s="2">
        <f t="shared" si="38"/>
        <v>0</v>
      </c>
      <c r="CX30" s="2">
        <f t="shared" si="39"/>
        <v>0</v>
      </c>
      <c r="CY30" s="2">
        <f t="shared" si="40"/>
        <v>0</v>
      </c>
      <c r="CZ30" s="2">
        <f t="shared" si="41"/>
        <v>0</v>
      </c>
      <c r="DA30" s="2"/>
      <c r="DB30" s="2"/>
      <c r="DC30" s="2" t="s">
        <v>3</v>
      </c>
      <c r="DD30" s="2" t="s">
        <v>3</v>
      </c>
      <c r="DE30" s="2" t="s">
        <v>3</v>
      </c>
      <c r="DF30" s="2" t="s">
        <v>3</v>
      </c>
      <c r="DG30" s="2" t="s">
        <v>3</v>
      </c>
      <c r="DH30" s="2" t="s">
        <v>3</v>
      </c>
      <c r="DI30" s="2" t="s">
        <v>3</v>
      </c>
      <c r="DJ30" s="2" t="s">
        <v>3</v>
      </c>
      <c r="DK30" s="2" t="s">
        <v>3</v>
      </c>
      <c r="DL30" s="2" t="s">
        <v>3</v>
      </c>
      <c r="DM30" s="2" t="s">
        <v>3</v>
      </c>
      <c r="DN30" s="2">
        <v>0</v>
      </c>
      <c r="DO30" s="2">
        <v>0</v>
      </c>
      <c r="DP30" s="2">
        <v>1</v>
      </c>
      <c r="DQ30" s="2">
        <v>1</v>
      </c>
      <c r="DR30" s="2"/>
      <c r="DS30" s="2"/>
      <c r="DT30" s="2"/>
      <c r="DU30" s="2">
        <v>1013</v>
      </c>
      <c r="DV30" s="2" t="s">
        <v>39</v>
      </c>
      <c r="DW30" s="2" t="s">
        <v>39</v>
      </c>
      <c r="DX30" s="2">
        <v>1</v>
      </c>
      <c r="DY30" s="2"/>
      <c r="DZ30" s="2"/>
      <c r="EA30" s="2"/>
      <c r="EB30" s="2"/>
      <c r="EC30" s="2"/>
      <c r="ED30" s="2"/>
      <c r="EE30" s="2">
        <v>24085297</v>
      </c>
      <c r="EF30" s="2">
        <v>10</v>
      </c>
      <c r="EG30" s="2" t="s">
        <v>41</v>
      </c>
      <c r="EH30" s="2">
        <v>0</v>
      </c>
      <c r="EI30" s="2" t="s">
        <v>3</v>
      </c>
      <c r="EJ30" s="2">
        <v>1</v>
      </c>
      <c r="EK30" s="2">
        <v>700001</v>
      </c>
      <c r="EL30" s="2" t="s">
        <v>42</v>
      </c>
      <c r="EM30" s="2" t="s">
        <v>43</v>
      </c>
      <c r="EN30" s="2"/>
      <c r="EO30" s="2" t="s">
        <v>3</v>
      </c>
      <c r="EP30" s="2"/>
      <c r="EQ30" s="2">
        <v>0</v>
      </c>
      <c r="ER30" s="2">
        <v>6.65</v>
      </c>
      <c r="ES30" s="2">
        <v>0</v>
      </c>
      <c r="ET30" s="2">
        <v>6.65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>
        <v>0</v>
      </c>
      <c r="FR30" s="2">
        <f t="shared" si="42"/>
        <v>0</v>
      </c>
      <c r="FS30" s="2">
        <v>0</v>
      </c>
      <c r="FT30" s="2"/>
      <c r="FU30" s="2"/>
      <c r="FV30" s="2"/>
      <c r="FW30" s="2"/>
      <c r="FX30" s="2">
        <v>0</v>
      </c>
      <c r="FY30" s="2">
        <v>0</v>
      </c>
      <c r="FZ30" s="2"/>
      <c r="GA30" s="2" t="s">
        <v>3</v>
      </c>
      <c r="GB30" s="2"/>
      <c r="GC30" s="2"/>
      <c r="GD30" s="2">
        <v>0</v>
      </c>
      <c r="GE30" s="2"/>
      <c r="GF30" s="2">
        <v>-811322024</v>
      </c>
      <c r="GG30" s="2">
        <v>2</v>
      </c>
      <c r="GH30" s="2">
        <v>1</v>
      </c>
      <c r="GI30" s="2">
        <v>-2</v>
      </c>
      <c r="GJ30" s="2">
        <v>0</v>
      </c>
      <c r="GK30" s="2">
        <f>ROUND(R30*(R12)/100,2)</f>
        <v>0</v>
      </c>
      <c r="GL30" s="2">
        <f t="shared" si="43"/>
        <v>0</v>
      </c>
      <c r="GM30" s="2">
        <f t="shared" si="44"/>
        <v>581.32000000000005</v>
      </c>
      <c r="GN30" s="2">
        <f t="shared" si="45"/>
        <v>581.32000000000005</v>
      </c>
      <c r="GO30" s="2">
        <f t="shared" si="46"/>
        <v>0</v>
      </c>
      <c r="GP30" s="2">
        <f t="shared" si="47"/>
        <v>0</v>
      </c>
      <c r="GQ30" s="2"/>
      <c r="GR30" s="2">
        <v>0</v>
      </c>
      <c r="GS30" s="2">
        <v>3</v>
      </c>
      <c r="GT30" s="2">
        <v>0</v>
      </c>
      <c r="GU30" s="2" t="s">
        <v>3</v>
      </c>
      <c r="GV30" s="2">
        <f t="shared" si="48"/>
        <v>0</v>
      </c>
      <c r="GW30" s="2">
        <v>1</v>
      </c>
      <c r="GX30" s="2">
        <f t="shared" si="49"/>
        <v>0</v>
      </c>
      <c r="GY30" s="2"/>
      <c r="GZ30" s="2"/>
      <c r="HA30" s="2">
        <v>0</v>
      </c>
      <c r="HB30" s="2">
        <v>0</v>
      </c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>
        <v>0</v>
      </c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>
      <c r="A31">
        <v>17</v>
      </c>
      <c r="B31">
        <v>1</v>
      </c>
      <c r="E31" t="s">
        <v>36</v>
      </c>
      <c r="F31" t="s">
        <v>37</v>
      </c>
      <c r="G31" t="s">
        <v>38</v>
      </c>
      <c r="H31" t="s">
        <v>39</v>
      </c>
      <c r="I31">
        <v>87.417000000000002</v>
      </c>
      <c r="J31">
        <v>0</v>
      </c>
      <c r="O31">
        <f t="shared" si="14"/>
        <v>3610.02</v>
      </c>
      <c r="P31">
        <f t="shared" si="15"/>
        <v>0</v>
      </c>
      <c r="Q31">
        <f t="shared" si="16"/>
        <v>3610.02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34847877</v>
      </c>
      <c r="AB31">
        <f t="shared" si="25"/>
        <v>6.65</v>
      </c>
      <c r="AC31">
        <f t="shared" si="26"/>
        <v>0</v>
      </c>
      <c r="AD31">
        <f>ROUND(((ET31)+ROUND(((EU31)*1.85),2)),6)</f>
        <v>6.65</v>
      </c>
      <c r="AE31">
        <f>ROUND(((EU31)+ROUND(((EU31)*1.85),2)),6)</f>
        <v>0</v>
      </c>
      <c r="AF31">
        <f>ROUND(((EV31)+ROUND(((EV31)*1.85),2)),6)</f>
        <v>0</v>
      </c>
      <c r="AG31">
        <f t="shared" si="28"/>
        <v>0</v>
      </c>
      <c r="AH31">
        <f t="shared" si="50"/>
        <v>0</v>
      </c>
      <c r="AI31">
        <f t="shared" si="50"/>
        <v>0</v>
      </c>
      <c r="AJ31">
        <f t="shared" si="30"/>
        <v>0</v>
      </c>
      <c r="AK31">
        <v>6.65</v>
      </c>
      <c r="AL31">
        <v>0</v>
      </c>
      <c r="AM31">
        <v>6.65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16.440000000000001</v>
      </c>
      <c r="BB31">
        <v>6.21</v>
      </c>
      <c r="BC31">
        <v>5.9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40</v>
      </c>
      <c r="BM31">
        <v>700001</v>
      </c>
      <c r="BN31">
        <v>0</v>
      </c>
      <c r="BO31" t="s">
        <v>3</v>
      </c>
      <c r="BP31">
        <v>0</v>
      </c>
      <c r="BQ31">
        <v>10</v>
      </c>
      <c r="BR31">
        <v>0</v>
      </c>
      <c r="BS31">
        <v>16.440000000000001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1"/>
        <v>3610.02</v>
      </c>
      <c r="CQ31">
        <f t="shared" si="32"/>
        <v>0</v>
      </c>
      <c r="CR31">
        <f t="shared" si="33"/>
        <v>41.296500000000002</v>
      </c>
      <c r="CS31">
        <f t="shared" si="34"/>
        <v>0</v>
      </c>
      <c r="CT31">
        <f t="shared" si="35"/>
        <v>0</v>
      </c>
      <c r="CU31">
        <f t="shared" si="36"/>
        <v>0</v>
      </c>
      <c r="CV31">
        <f t="shared" si="37"/>
        <v>0</v>
      </c>
      <c r="CW31">
        <f t="shared" si="38"/>
        <v>0</v>
      </c>
      <c r="CX31">
        <f t="shared" si="39"/>
        <v>0</v>
      </c>
      <c r="CY31">
        <f t="shared" si="40"/>
        <v>0</v>
      </c>
      <c r="CZ31">
        <f t="shared" si="41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39</v>
      </c>
      <c r="DW31" t="s">
        <v>39</v>
      </c>
      <c r="DX31">
        <v>1</v>
      </c>
      <c r="EE31">
        <v>24085297</v>
      </c>
      <c r="EF31">
        <v>10</v>
      </c>
      <c r="EG31" t="s">
        <v>41</v>
      </c>
      <c r="EH31">
        <v>0</v>
      </c>
      <c r="EI31" t="s">
        <v>3</v>
      </c>
      <c r="EJ31">
        <v>1</v>
      </c>
      <c r="EK31">
        <v>700001</v>
      </c>
      <c r="EL31" t="s">
        <v>42</v>
      </c>
      <c r="EM31" t="s">
        <v>43</v>
      </c>
      <c r="EO31" t="s">
        <v>3</v>
      </c>
      <c r="EQ31">
        <v>0</v>
      </c>
      <c r="ER31">
        <v>6.65</v>
      </c>
      <c r="ES31">
        <v>0</v>
      </c>
      <c r="ET31">
        <v>6.65</v>
      </c>
      <c r="EU31">
        <v>0</v>
      </c>
      <c r="EV31">
        <v>0</v>
      </c>
      <c r="EW31">
        <v>0</v>
      </c>
      <c r="EX31">
        <v>0</v>
      </c>
      <c r="EY31">
        <v>0</v>
      </c>
      <c r="FQ31">
        <v>0</v>
      </c>
      <c r="FR31">
        <f t="shared" si="42"/>
        <v>0</v>
      </c>
      <c r="FS31">
        <v>0</v>
      </c>
      <c r="FX31">
        <v>0</v>
      </c>
      <c r="FY31">
        <v>0</v>
      </c>
      <c r="GA31" t="s">
        <v>3</v>
      </c>
      <c r="GD31">
        <v>0</v>
      </c>
      <c r="GF31">
        <v>-811322024</v>
      </c>
      <c r="GG31">
        <v>2</v>
      </c>
      <c r="GH31">
        <v>1</v>
      </c>
      <c r="GI31">
        <v>4</v>
      </c>
      <c r="GJ31">
        <v>0</v>
      </c>
      <c r="GK31">
        <f>ROUND(R31*(S12)/100,2)</f>
        <v>0</v>
      </c>
      <c r="GL31">
        <f t="shared" si="43"/>
        <v>0</v>
      </c>
      <c r="GM31">
        <f t="shared" si="44"/>
        <v>3610.02</v>
      </c>
      <c r="GN31">
        <f t="shared" si="45"/>
        <v>3610.02</v>
      </c>
      <c r="GO31">
        <f t="shared" si="46"/>
        <v>0</v>
      </c>
      <c r="GP31">
        <f t="shared" si="47"/>
        <v>0</v>
      </c>
      <c r="GR31">
        <v>0</v>
      </c>
      <c r="GS31">
        <v>3</v>
      </c>
      <c r="GT31">
        <v>0</v>
      </c>
      <c r="GU31" t="s">
        <v>3</v>
      </c>
      <c r="GV31">
        <f t="shared" si="48"/>
        <v>0</v>
      </c>
      <c r="GW31">
        <v>1</v>
      </c>
      <c r="GX31">
        <f t="shared" si="49"/>
        <v>0</v>
      </c>
      <c r="HA31">
        <v>0</v>
      </c>
      <c r="HB31">
        <v>0</v>
      </c>
      <c r="IK31">
        <v>0</v>
      </c>
    </row>
    <row r="32" spans="1:255">
      <c r="A32" s="2">
        <v>17</v>
      </c>
      <c r="B32" s="2">
        <v>1</v>
      </c>
      <c r="C32" s="2">
        <f>ROW(SmtRes!A25)</f>
        <v>25</v>
      </c>
      <c r="D32" s="2">
        <f>ROW(EtalonRes!A25)</f>
        <v>25</v>
      </c>
      <c r="E32" s="2" t="s">
        <v>44</v>
      </c>
      <c r="F32" s="2" t="s">
        <v>45</v>
      </c>
      <c r="G32" s="2" t="s">
        <v>46</v>
      </c>
      <c r="H32" s="2" t="s">
        <v>47</v>
      </c>
      <c r="I32" s="2">
        <f>ROUND(485.15/1000,9)</f>
        <v>0.48515000000000003</v>
      </c>
      <c r="J32" s="2">
        <v>0</v>
      </c>
      <c r="K32" s="2"/>
      <c r="L32" s="2"/>
      <c r="M32" s="2"/>
      <c r="N32" s="2"/>
      <c r="O32" s="2">
        <f t="shared" si="14"/>
        <v>40.840000000000003</v>
      </c>
      <c r="P32" s="2">
        <f t="shared" si="15"/>
        <v>0.33</v>
      </c>
      <c r="Q32" s="2">
        <f t="shared" si="16"/>
        <v>37.36</v>
      </c>
      <c r="R32" s="2">
        <f t="shared" si="17"/>
        <v>3.87</v>
      </c>
      <c r="S32" s="2">
        <f t="shared" si="18"/>
        <v>3.15</v>
      </c>
      <c r="T32" s="2">
        <f t="shared" si="19"/>
        <v>0</v>
      </c>
      <c r="U32" s="2">
        <f t="shared" si="20"/>
        <v>0.34930800000000001</v>
      </c>
      <c r="V32" s="2">
        <f t="shared" si="21"/>
        <v>0.33960499999999999</v>
      </c>
      <c r="W32" s="2">
        <f t="shared" si="22"/>
        <v>0</v>
      </c>
      <c r="X32" s="2">
        <f t="shared" si="23"/>
        <v>8.07</v>
      </c>
      <c r="Y32" s="2">
        <f t="shared" si="24"/>
        <v>5.41</v>
      </c>
      <c r="Z32" s="2"/>
      <c r="AA32" s="2">
        <v>34847864</v>
      </c>
      <c r="AB32" s="2">
        <f t="shared" si="25"/>
        <v>84.17</v>
      </c>
      <c r="AC32" s="2">
        <f t="shared" si="26"/>
        <v>0.68</v>
      </c>
      <c r="AD32" s="2">
        <f>ROUND((((ET32)-(EU32))+AE32),6)</f>
        <v>77</v>
      </c>
      <c r="AE32" s="2">
        <f t="shared" ref="AE32:AF35" si="51">ROUND((EU32),6)</f>
        <v>7.97</v>
      </c>
      <c r="AF32" s="2">
        <f t="shared" si="51"/>
        <v>6.49</v>
      </c>
      <c r="AG32" s="2">
        <f t="shared" si="28"/>
        <v>0</v>
      </c>
      <c r="AH32" s="2">
        <f t="shared" si="50"/>
        <v>0.72</v>
      </c>
      <c r="AI32" s="2">
        <f t="shared" si="50"/>
        <v>0.7</v>
      </c>
      <c r="AJ32" s="2">
        <f t="shared" si="30"/>
        <v>0</v>
      </c>
      <c r="AK32" s="2">
        <v>84.17</v>
      </c>
      <c r="AL32" s="2">
        <v>0.68</v>
      </c>
      <c r="AM32" s="2">
        <v>77</v>
      </c>
      <c r="AN32" s="2">
        <v>7.97</v>
      </c>
      <c r="AO32" s="2">
        <v>6.49</v>
      </c>
      <c r="AP32" s="2">
        <v>0</v>
      </c>
      <c r="AQ32" s="2">
        <v>0.72</v>
      </c>
      <c r="AR32" s="2">
        <v>0.7</v>
      </c>
      <c r="AS32" s="2">
        <v>0</v>
      </c>
      <c r="AT32" s="2">
        <v>115</v>
      </c>
      <c r="AU32" s="2">
        <v>77</v>
      </c>
      <c r="AV32" s="2">
        <v>1</v>
      </c>
      <c r="AW32" s="2">
        <v>1</v>
      </c>
      <c r="AX32" s="2"/>
      <c r="AY32" s="2"/>
      <c r="AZ32" s="2">
        <v>1</v>
      </c>
      <c r="BA32" s="2">
        <v>1</v>
      </c>
      <c r="BB32" s="2">
        <v>1</v>
      </c>
      <c r="BC32" s="2">
        <v>1</v>
      </c>
      <c r="BD32" s="2" t="s">
        <v>3</v>
      </c>
      <c r="BE32" s="2" t="s">
        <v>3</v>
      </c>
      <c r="BF32" s="2" t="s">
        <v>3</v>
      </c>
      <c r="BG32" s="2" t="s">
        <v>3</v>
      </c>
      <c r="BH32" s="2">
        <v>0</v>
      </c>
      <c r="BI32" s="2">
        <v>1</v>
      </c>
      <c r="BJ32" s="2" t="s">
        <v>48</v>
      </c>
      <c r="BK32" s="2"/>
      <c r="BL32" s="2"/>
      <c r="BM32" s="2">
        <v>47001</v>
      </c>
      <c r="BN32" s="2">
        <v>0</v>
      </c>
      <c r="BO32" s="2" t="s">
        <v>3</v>
      </c>
      <c r="BP32" s="2">
        <v>0</v>
      </c>
      <c r="BQ32" s="2">
        <v>2</v>
      </c>
      <c r="BR32" s="2">
        <v>0</v>
      </c>
      <c r="BS32" s="2">
        <v>1</v>
      </c>
      <c r="BT32" s="2">
        <v>1</v>
      </c>
      <c r="BU32" s="2">
        <v>1</v>
      </c>
      <c r="BV32" s="2">
        <v>1</v>
      </c>
      <c r="BW32" s="2">
        <v>1</v>
      </c>
      <c r="BX32" s="2">
        <v>1</v>
      </c>
      <c r="BY32" s="2" t="s">
        <v>3</v>
      </c>
      <c r="BZ32" s="2">
        <v>115</v>
      </c>
      <c r="CA32" s="2">
        <v>90</v>
      </c>
      <c r="CB32" s="2"/>
      <c r="CC32" s="2"/>
      <c r="CD32" s="2"/>
      <c r="CE32" s="2"/>
      <c r="CF32" s="2">
        <v>0</v>
      </c>
      <c r="CG32" s="2">
        <v>0</v>
      </c>
      <c r="CH32" s="2"/>
      <c r="CI32" s="2"/>
      <c r="CJ32" s="2"/>
      <c r="CK32" s="2"/>
      <c r="CL32" s="2"/>
      <c r="CM32" s="2">
        <v>0</v>
      </c>
      <c r="CN32" s="2" t="s">
        <v>3</v>
      </c>
      <c r="CO32" s="2">
        <v>0</v>
      </c>
      <c r="CP32" s="2">
        <f t="shared" si="31"/>
        <v>40.839999999999996</v>
      </c>
      <c r="CQ32" s="2">
        <f t="shared" si="32"/>
        <v>0.68</v>
      </c>
      <c r="CR32" s="2">
        <f t="shared" si="33"/>
        <v>77</v>
      </c>
      <c r="CS32" s="2">
        <f t="shared" si="34"/>
        <v>7.97</v>
      </c>
      <c r="CT32" s="2">
        <f t="shared" si="35"/>
        <v>6.49</v>
      </c>
      <c r="CU32" s="2">
        <f t="shared" si="36"/>
        <v>0</v>
      </c>
      <c r="CV32" s="2">
        <f t="shared" si="37"/>
        <v>0.72</v>
      </c>
      <c r="CW32" s="2">
        <f t="shared" si="38"/>
        <v>0.7</v>
      </c>
      <c r="CX32" s="2">
        <f t="shared" si="39"/>
        <v>0</v>
      </c>
      <c r="CY32" s="2">
        <f t="shared" si="40"/>
        <v>8.0730000000000004</v>
      </c>
      <c r="CZ32" s="2">
        <f t="shared" si="41"/>
        <v>5.4053999999999993</v>
      </c>
      <c r="DA32" s="2"/>
      <c r="DB32" s="2"/>
      <c r="DC32" s="2" t="s">
        <v>3</v>
      </c>
      <c r="DD32" s="2" t="s">
        <v>3</v>
      </c>
      <c r="DE32" s="2" t="s">
        <v>3</v>
      </c>
      <c r="DF32" s="2" t="s">
        <v>3</v>
      </c>
      <c r="DG32" s="2" t="s">
        <v>3</v>
      </c>
      <c r="DH32" s="2" t="s">
        <v>3</v>
      </c>
      <c r="DI32" s="2" t="s">
        <v>3</v>
      </c>
      <c r="DJ32" s="2" t="s">
        <v>3</v>
      </c>
      <c r="DK32" s="2" t="s">
        <v>3</v>
      </c>
      <c r="DL32" s="2" t="s">
        <v>3</v>
      </c>
      <c r="DM32" s="2" t="s">
        <v>3</v>
      </c>
      <c r="DN32" s="2">
        <v>0</v>
      </c>
      <c r="DO32" s="2">
        <v>0</v>
      </c>
      <c r="DP32" s="2">
        <v>1</v>
      </c>
      <c r="DQ32" s="2">
        <v>1</v>
      </c>
      <c r="DR32" s="2"/>
      <c r="DS32" s="2"/>
      <c r="DT32" s="2"/>
      <c r="DU32" s="2">
        <v>1005</v>
      </c>
      <c r="DV32" s="2" t="s">
        <v>47</v>
      </c>
      <c r="DW32" s="2" t="s">
        <v>47</v>
      </c>
      <c r="DX32" s="2">
        <v>1000</v>
      </c>
      <c r="DY32" s="2"/>
      <c r="DZ32" s="2"/>
      <c r="EA32" s="2"/>
      <c r="EB32" s="2"/>
      <c r="EC32" s="2"/>
      <c r="ED32" s="2"/>
      <c r="EE32" s="2">
        <v>24085429</v>
      </c>
      <c r="EF32" s="2">
        <v>2</v>
      </c>
      <c r="EG32" s="2" t="s">
        <v>33</v>
      </c>
      <c r="EH32" s="2">
        <v>0</v>
      </c>
      <c r="EI32" s="2" t="s">
        <v>3</v>
      </c>
      <c r="EJ32" s="2">
        <v>1</v>
      </c>
      <c r="EK32" s="2">
        <v>47001</v>
      </c>
      <c r="EL32" s="2" t="s">
        <v>49</v>
      </c>
      <c r="EM32" s="2" t="s">
        <v>50</v>
      </c>
      <c r="EN32" s="2"/>
      <c r="EO32" s="2" t="s">
        <v>3</v>
      </c>
      <c r="EP32" s="2"/>
      <c r="EQ32" s="2">
        <v>0</v>
      </c>
      <c r="ER32" s="2">
        <v>84.17</v>
      </c>
      <c r="ES32" s="2">
        <v>0.68</v>
      </c>
      <c r="ET32" s="2">
        <v>77</v>
      </c>
      <c r="EU32" s="2">
        <v>7.97</v>
      </c>
      <c r="EV32" s="2">
        <v>6.49</v>
      </c>
      <c r="EW32" s="2">
        <v>0.72</v>
      </c>
      <c r="EX32" s="2">
        <v>0.7</v>
      </c>
      <c r="EY32" s="2">
        <v>0</v>
      </c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>
        <v>0</v>
      </c>
      <c r="FR32" s="2">
        <f t="shared" si="42"/>
        <v>0</v>
      </c>
      <c r="FS32" s="2">
        <v>0</v>
      </c>
      <c r="FT32" s="2"/>
      <c r="FU32" s="2" t="s">
        <v>21</v>
      </c>
      <c r="FV32" s="2"/>
      <c r="FW32" s="2"/>
      <c r="FX32" s="2">
        <v>115</v>
      </c>
      <c r="FY32" s="2">
        <v>76.5</v>
      </c>
      <c r="FZ32" s="2"/>
      <c r="GA32" s="2" t="s">
        <v>3</v>
      </c>
      <c r="GB32" s="2"/>
      <c r="GC32" s="2"/>
      <c r="GD32" s="2">
        <v>0</v>
      </c>
      <c r="GE32" s="2"/>
      <c r="GF32" s="2">
        <v>1963022561</v>
      </c>
      <c r="GG32" s="2">
        <v>2</v>
      </c>
      <c r="GH32" s="2">
        <v>1</v>
      </c>
      <c r="GI32" s="2">
        <v>-2</v>
      </c>
      <c r="GJ32" s="2">
        <v>0</v>
      </c>
      <c r="GK32" s="2">
        <f>ROUND(R32*(R12)/100,2)</f>
        <v>0</v>
      </c>
      <c r="GL32" s="2">
        <f t="shared" si="43"/>
        <v>0</v>
      </c>
      <c r="GM32" s="2">
        <f t="shared" si="44"/>
        <v>54.32</v>
      </c>
      <c r="GN32" s="2">
        <f t="shared" si="45"/>
        <v>54.32</v>
      </c>
      <c r="GO32" s="2">
        <f t="shared" si="46"/>
        <v>0</v>
      </c>
      <c r="GP32" s="2">
        <f t="shared" si="47"/>
        <v>0</v>
      </c>
      <c r="GQ32" s="2"/>
      <c r="GR32" s="2">
        <v>0</v>
      </c>
      <c r="GS32" s="2">
        <v>3</v>
      </c>
      <c r="GT32" s="2">
        <v>0</v>
      </c>
      <c r="GU32" s="2" t="s">
        <v>3</v>
      </c>
      <c r="GV32" s="2">
        <f t="shared" si="48"/>
        <v>0</v>
      </c>
      <c r="GW32" s="2">
        <v>1</v>
      </c>
      <c r="GX32" s="2">
        <f t="shared" si="49"/>
        <v>0</v>
      </c>
      <c r="GY32" s="2"/>
      <c r="GZ32" s="2"/>
      <c r="HA32" s="2">
        <v>0</v>
      </c>
      <c r="HB32" s="2">
        <v>0</v>
      </c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>
        <v>0</v>
      </c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>
      <c r="A33">
        <v>17</v>
      </c>
      <c r="B33">
        <v>1</v>
      </c>
      <c r="C33">
        <f>ROW(SmtRes!A30)</f>
        <v>30</v>
      </c>
      <c r="D33">
        <f>ROW(EtalonRes!A30)</f>
        <v>30</v>
      </c>
      <c r="E33" t="s">
        <v>44</v>
      </c>
      <c r="F33" t="s">
        <v>45</v>
      </c>
      <c r="G33" t="s">
        <v>46</v>
      </c>
      <c r="H33" t="s">
        <v>47</v>
      </c>
      <c r="I33">
        <f>ROUND(485.15/1000,9)</f>
        <v>0.48515000000000003</v>
      </c>
      <c r="J33">
        <v>0</v>
      </c>
      <c r="O33">
        <f t="shared" si="14"/>
        <v>285.69</v>
      </c>
      <c r="P33">
        <f t="shared" si="15"/>
        <v>1.95</v>
      </c>
      <c r="Q33">
        <f t="shared" si="16"/>
        <v>231.98</v>
      </c>
      <c r="R33">
        <f t="shared" si="17"/>
        <v>63.57</v>
      </c>
      <c r="S33">
        <f t="shared" si="18"/>
        <v>51.76</v>
      </c>
      <c r="T33">
        <f t="shared" si="19"/>
        <v>0</v>
      </c>
      <c r="U33">
        <f t="shared" si="20"/>
        <v>0.34930800000000001</v>
      </c>
      <c r="V33">
        <f t="shared" si="21"/>
        <v>0.33960499999999999</v>
      </c>
      <c r="W33">
        <f t="shared" si="22"/>
        <v>0</v>
      </c>
      <c r="X33">
        <f t="shared" si="23"/>
        <v>113.02</v>
      </c>
      <c r="Y33">
        <f t="shared" si="24"/>
        <v>70.349999999999994</v>
      </c>
      <c r="AA33">
        <v>34847877</v>
      </c>
      <c r="AB33">
        <f t="shared" si="25"/>
        <v>84.17</v>
      </c>
      <c r="AC33">
        <f t="shared" si="26"/>
        <v>0.68</v>
      </c>
      <c r="AD33">
        <f>ROUND((((ET33)-(EU33))+AE33),6)</f>
        <v>77</v>
      </c>
      <c r="AE33">
        <f t="shared" si="51"/>
        <v>7.97</v>
      </c>
      <c r="AF33">
        <f t="shared" si="51"/>
        <v>6.49</v>
      </c>
      <c r="AG33">
        <f t="shared" si="28"/>
        <v>0</v>
      </c>
      <c r="AH33">
        <f t="shared" si="50"/>
        <v>0.72</v>
      </c>
      <c r="AI33">
        <f t="shared" si="50"/>
        <v>0.7</v>
      </c>
      <c r="AJ33">
        <f t="shared" si="30"/>
        <v>0</v>
      </c>
      <c r="AK33">
        <v>84.17</v>
      </c>
      <c r="AL33">
        <v>0.68</v>
      </c>
      <c r="AM33">
        <v>77</v>
      </c>
      <c r="AN33">
        <v>7.97</v>
      </c>
      <c r="AO33">
        <v>6.49</v>
      </c>
      <c r="AP33">
        <v>0</v>
      </c>
      <c r="AQ33">
        <v>0.72</v>
      </c>
      <c r="AR33">
        <v>0.7</v>
      </c>
      <c r="AS33">
        <v>0</v>
      </c>
      <c r="AT33">
        <v>98</v>
      </c>
      <c r="AU33">
        <v>61</v>
      </c>
      <c r="AV33">
        <v>1</v>
      </c>
      <c r="AW33">
        <v>1</v>
      </c>
      <c r="AZ33">
        <v>1</v>
      </c>
      <c r="BA33">
        <v>16.440000000000001</v>
      </c>
      <c r="BB33">
        <v>6.21</v>
      </c>
      <c r="BC33">
        <v>5.9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48</v>
      </c>
      <c r="BM33">
        <v>47001</v>
      </c>
      <c r="BN33">
        <v>0</v>
      </c>
      <c r="BO33" t="s">
        <v>3</v>
      </c>
      <c r="BP33">
        <v>0</v>
      </c>
      <c r="BQ33">
        <v>2</v>
      </c>
      <c r="BR33">
        <v>0</v>
      </c>
      <c r="BS33">
        <v>16.440000000000001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115</v>
      </c>
      <c r="CA33">
        <v>90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1"/>
        <v>285.69</v>
      </c>
      <c r="CQ33">
        <f t="shared" si="32"/>
        <v>4.0120000000000005</v>
      </c>
      <c r="CR33">
        <f t="shared" si="33"/>
        <v>478.17</v>
      </c>
      <c r="CS33">
        <f t="shared" si="34"/>
        <v>131.02680000000001</v>
      </c>
      <c r="CT33">
        <f t="shared" si="35"/>
        <v>106.69560000000001</v>
      </c>
      <c r="CU33">
        <f t="shared" si="36"/>
        <v>0</v>
      </c>
      <c r="CV33">
        <f t="shared" si="37"/>
        <v>0.72</v>
      </c>
      <c r="CW33">
        <f t="shared" si="38"/>
        <v>0.7</v>
      </c>
      <c r="CX33">
        <f t="shared" si="39"/>
        <v>0</v>
      </c>
      <c r="CY33">
        <f t="shared" si="40"/>
        <v>113.0234</v>
      </c>
      <c r="CZ33">
        <f t="shared" si="41"/>
        <v>70.351299999999995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1005</v>
      </c>
      <c r="DV33" t="s">
        <v>47</v>
      </c>
      <c r="DW33" t="s">
        <v>47</v>
      </c>
      <c r="DX33">
        <v>1000</v>
      </c>
      <c r="EE33">
        <v>24085429</v>
      </c>
      <c r="EF33">
        <v>2</v>
      </c>
      <c r="EG33" t="s">
        <v>33</v>
      </c>
      <c r="EH33">
        <v>0</v>
      </c>
      <c r="EI33" t="s">
        <v>3</v>
      </c>
      <c r="EJ33">
        <v>1</v>
      </c>
      <c r="EK33">
        <v>47001</v>
      </c>
      <c r="EL33" t="s">
        <v>49</v>
      </c>
      <c r="EM33" t="s">
        <v>50</v>
      </c>
      <c r="EO33" t="s">
        <v>3</v>
      </c>
      <c r="EQ33">
        <v>0</v>
      </c>
      <c r="ER33">
        <v>84.17</v>
      </c>
      <c r="ES33">
        <v>0.68</v>
      </c>
      <c r="ET33">
        <v>77</v>
      </c>
      <c r="EU33">
        <v>7.97</v>
      </c>
      <c r="EV33">
        <v>6.49</v>
      </c>
      <c r="EW33">
        <v>0.72</v>
      </c>
      <c r="EX33">
        <v>0.7</v>
      </c>
      <c r="EY33">
        <v>0</v>
      </c>
      <c r="FQ33">
        <v>0</v>
      </c>
      <c r="FR33">
        <f t="shared" si="42"/>
        <v>0</v>
      </c>
      <c r="FS33">
        <v>0</v>
      </c>
      <c r="FU33" t="s">
        <v>21</v>
      </c>
      <c r="FV33" t="s">
        <v>21</v>
      </c>
      <c r="FW33" t="s">
        <v>22</v>
      </c>
      <c r="FX33">
        <v>115</v>
      </c>
      <c r="FY33">
        <v>76.5</v>
      </c>
      <c r="GA33" t="s">
        <v>3</v>
      </c>
      <c r="GD33">
        <v>0</v>
      </c>
      <c r="GF33">
        <v>1963022561</v>
      </c>
      <c r="GG33">
        <v>2</v>
      </c>
      <c r="GH33">
        <v>1</v>
      </c>
      <c r="GI33">
        <v>4</v>
      </c>
      <c r="GJ33">
        <v>0</v>
      </c>
      <c r="GK33">
        <f>ROUND(R33*(S12)/100,2)</f>
        <v>0</v>
      </c>
      <c r="GL33">
        <f t="shared" si="43"/>
        <v>0</v>
      </c>
      <c r="GM33">
        <f t="shared" si="44"/>
        <v>469.06</v>
      </c>
      <c r="GN33">
        <f t="shared" si="45"/>
        <v>469.06</v>
      </c>
      <c r="GO33">
        <f t="shared" si="46"/>
        <v>0</v>
      </c>
      <c r="GP33">
        <f t="shared" si="47"/>
        <v>0</v>
      </c>
      <c r="GR33">
        <v>0</v>
      </c>
      <c r="GS33">
        <v>3</v>
      </c>
      <c r="GT33">
        <v>0</v>
      </c>
      <c r="GU33" t="s">
        <v>3</v>
      </c>
      <c r="GV33">
        <f t="shared" si="48"/>
        <v>0</v>
      </c>
      <c r="GW33">
        <v>1</v>
      </c>
      <c r="GX33">
        <f t="shared" si="49"/>
        <v>0</v>
      </c>
      <c r="HA33">
        <v>0</v>
      </c>
      <c r="HB33">
        <v>0</v>
      </c>
      <c r="IK33">
        <v>0</v>
      </c>
    </row>
    <row r="34" spans="1:255">
      <c r="A34" s="2">
        <v>18</v>
      </c>
      <c r="B34" s="2">
        <v>1</v>
      </c>
      <c r="C34" s="2">
        <v>25</v>
      </c>
      <c r="D34" s="2"/>
      <c r="E34" s="2" t="s">
        <v>51</v>
      </c>
      <c r="F34" s="2" t="s">
        <v>52</v>
      </c>
      <c r="G34" s="2" t="s">
        <v>53</v>
      </c>
      <c r="H34" s="2" t="s">
        <v>54</v>
      </c>
      <c r="I34" s="2">
        <f>I32*J34</f>
        <v>1</v>
      </c>
      <c r="J34" s="2">
        <v>2.0612181799443472</v>
      </c>
      <c r="K34" s="2"/>
      <c r="L34" s="2"/>
      <c r="M34" s="2"/>
      <c r="N34" s="2"/>
      <c r="O34" s="2">
        <f t="shared" si="14"/>
        <v>0</v>
      </c>
      <c r="P34" s="2">
        <f t="shared" si="15"/>
        <v>0</v>
      </c>
      <c r="Q34" s="2">
        <f t="shared" si="16"/>
        <v>0</v>
      </c>
      <c r="R34" s="2">
        <f t="shared" si="17"/>
        <v>0</v>
      </c>
      <c r="S34" s="2">
        <f t="shared" si="18"/>
        <v>0</v>
      </c>
      <c r="T34" s="2">
        <f t="shared" si="19"/>
        <v>0</v>
      </c>
      <c r="U34" s="2">
        <f t="shared" si="20"/>
        <v>0</v>
      </c>
      <c r="V34" s="2">
        <f t="shared" si="21"/>
        <v>0</v>
      </c>
      <c r="W34" s="2">
        <f t="shared" si="22"/>
        <v>0</v>
      </c>
      <c r="X34" s="2">
        <f t="shared" si="23"/>
        <v>0</v>
      </c>
      <c r="Y34" s="2">
        <f t="shared" si="24"/>
        <v>0</v>
      </c>
      <c r="Z34" s="2"/>
      <c r="AA34" s="2">
        <v>34847864</v>
      </c>
      <c r="AB34" s="2">
        <f t="shared" si="25"/>
        <v>0</v>
      </c>
      <c r="AC34" s="2">
        <f t="shared" si="26"/>
        <v>0</v>
      </c>
      <c r="AD34" s="2">
        <f>ROUND((((ET34)-(EU34))+AE34),6)</f>
        <v>0</v>
      </c>
      <c r="AE34" s="2">
        <f t="shared" si="51"/>
        <v>0</v>
      </c>
      <c r="AF34" s="2">
        <f t="shared" si="51"/>
        <v>0</v>
      </c>
      <c r="AG34" s="2">
        <f t="shared" si="28"/>
        <v>0</v>
      </c>
      <c r="AH34" s="2">
        <f t="shared" si="50"/>
        <v>0</v>
      </c>
      <c r="AI34" s="2">
        <f t="shared" si="50"/>
        <v>0</v>
      </c>
      <c r="AJ34" s="2">
        <f t="shared" si="30"/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115</v>
      </c>
      <c r="AU34" s="2">
        <v>77</v>
      </c>
      <c r="AV34" s="2">
        <v>1</v>
      </c>
      <c r="AW34" s="2">
        <v>1</v>
      </c>
      <c r="AX34" s="2"/>
      <c r="AY34" s="2"/>
      <c r="AZ34" s="2">
        <v>1</v>
      </c>
      <c r="BA34" s="2">
        <v>1</v>
      </c>
      <c r="BB34" s="2">
        <v>1</v>
      </c>
      <c r="BC34" s="2">
        <v>1</v>
      </c>
      <c r="BD34" s="2" t="s">
        <v>3</v>
      </c>
      <c r="BE34" s="2" t="s">
        <v>3</v>
      </c>
      <c r="BF34" s="2" t="s">
        <v>3</v>
      </c>
      <c r="BG34" s="2" t="s">
        <v>3</v>
      </c>
      <c r="BH34" s="2">
        <v>3</v>
      </c>
      <c r="BI34" s="2">
        <v>1</v>
      </c>
      <c r="BJ34" s="2" t="s">
        <v>55</v>
      </c>
      <c r="BK34" s="2"/>
      <c r="BL34" s="2"/>
      <c r="BM34" s="2">
        <v>47001</v>
      </c>
      <c r="BN34" s="2">
        <v>0</v>
      </c>
      <c r="BO34" s="2" t="s">
        <v>3</v>
      </c>
      <c r="BP34" s="2">
        <v>0</v>
      </c>
      <c r="BQ34" s="2">
        <v>2</v>
      </c>
      <c r="BR34" s="2">
        <v>0</v>
      </c>
      <c r="BS34" s="2">
        <v>1</v>
      </c>
      <c r="BT34" s="2">
        <v>1</v>
      </c>
      <c r="BU34" s="2">
        <v>1</v>
      </c>
      <c r="BV34" s="2">
        <v>1</v>
      </c>
      <c r="BW34" s="2">
        <v>1</v>
      </c>
      <c r="BX34" s="2">
        <v>1</v>
      </c>
      <c r="BY34" s="2" t="s">
        <v>3</v>
      </c>
      <c r="BZ34" s="2">
        <v>115</v>
      </c>
      <c r="CA34" s="2">
        <v>90</v>
      </c>
      <c r="CB34" s="2"/>
      <c r="CC34" s="2"/>
      <c r="CD34" s="2"/>
      <c r="CE34" s="2"/>
      <c r="CF34" s="2">
        <v>0</v>
      </c>
      <c r="CG34" s="2">
        <v>0</v>
      </c>
      <c r="CH34" s="2"/>
      <c r="CI34" s="2"/>
      <c r="CJ34" s="2"/>
      <c r="CK34" s="2"/>
      <c r="CL34" s="2"/>
      <c r="CM34" s="2">
        <v>0</v>
      </c>
      <c r="CN34" s="2" t="s">
        <v>3</v>
      </c>
      <c r="CO34" s="2">
        <v>0</v>
      </c>
      <c r="CP34" s="2">
        <f t="shared" si="31"/>
        <v>0</v>
      </c>
      <c r="CQ34" s="2">
        <f t="shared" si="32"/>
        <v>0</v>
      </c>
      <c r="CR34" s="2">
        <f t="shared" si="33"/>
        <v>0</v>
      </c>
      <c r="CS34" s="2">
        <f t="shared" si="34"/>
        <v>0</v>
      </c>
      <c r="CT34" s="2">
        <f t="shared" si="35"/>
        <v>0</v>
      </c>
      <c r="CU34" s="2">
        <f t="shared" si="36"/>
        <v>0</v>
      </c>
      <c r="CV34" s="2">
        <f t="shared" si="37"/>
        <v>0</v>
      </c>
      <c r="CW34" s="2">
        <f t="shared" si="38"/>
        <v>0</v>
      </c>
      <c r="CX34" s="2">
        <f t="shared" si="39"/>
        <v>0</v>
      </c>
      <c r="CY34" s="2">
        <f t="shared" si="40"/>
        <v>0</v>
      </c>
      <c r="CZ34" s="2">
        <f t="shared" si="41"/>
        <v>0</v>
      </c>
      <c r="DA34" s="2"/>
      <c r="DB34" s="2"/>
      <c r="DC34" s="2" t="s">
        <v>3</v>
      </c>
      <c r="DD34" s="2" t="s">
        <v>3</v>
      </c>
      <c r="DE34" s="2" t="s">
        <v>3</v>
      </c>
      <c r="DF34" s="2" t="s">
        <v>3</v>
      </c>
      <c r="DG34" s="2" t="s">
        <v>3</v>
      </c>
      <c r="DH34" s="2" t="s">
        <v>3</v>
      </c>
      <c r="DI34" s="2" t="s">
        <v>3</v>
      </c>
      <c r="DJ34" s="2" t="s">
        <v>3</v>
      </c>
      <c r="DK34" s="2" t="s">
        <v>3</v>
      </c>
      <c r="DL34" s="2" t="s">
        <v>3</v>
      </c>
      <c r="DM34" s="2" t="s">
        <v>3</v>
      </c>
      <c r="DN34" s="2">
        <v>0</v>
      </c>
      <c r="DO34" s="2">
        <v>0</v>
      </c>
      <c r="DP34" s="2">
        <v>1</v>
      </c>
      <c r="DQ34" s="2">
        <v>1</v>
      </c>
      <c r="DR34" s="2"/>
      <c r="DS34" s="2"/>
      <c r="DT34" s="2"/>
      <c r="DU34" s="2">
        <v>1013</v>
      </c>
      <c r="DV34" s="2" t="s">
        <v>54</v>
      </c>
      <c r="DW34" s="2" t="s">
        <v>54</v>
      </c>
      <c r="DX34" s="2">
        <v>1</v>
      </c>
      <c r="DY34" s="2"/>
      <c r="DZ34" s="2"/>
      <c r="EA34" s="2"/>
      <c r="EB34" s="2"/>
      <c r="EC34" s="2"/>
      <c r="ED34" s="2"/>
      <c r="EE34" s="2">
        <v>24085429</v>
      </c>
      <c r="EF34" s="2">
        <v>2</v>
      </c>
      <c r="EG34" s="2" t="s">
        <v>33</v>
      </c>
      <c r="EH34" s="2">
        <v>0</v>
      </c>
      <c r="EI34" s="2" t="s">
        <v>3</v>
      </c>
      <c r="EJ34" s="2">
        <v>1</v>
      </c>
      <c r="EK34" s="2">
        <v>47001</v>
      </c>
      <c r="EL34" s="2" t="s">
        <v>49</v>
      </c>
      <c r="EM34" s="2" t="s">
        <v>50</v>
      </c>
      <c r="EN34" s="2"/>
      <c r="EO34" s="2" t="s">
        <v>3</v>
      </c>
      <c r="EP34" s="2"/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>
        <v>0</v>
      </c>
      <c r="FR34" s="2">
        <f t="shared" si="42"/>
        <v>0</v>
      </c>
      <c r="FS34" s="2">
        <v>0</v>
      </c>
      <c r="FT34" s="2"/>
      <c r="FU34" s="2" t="s">
        <v>21</v>
      </c>
      <c r="FV34" s="2"/>
      <c r="FW34" s="2"/>
      <c r="FX34" s="2">
        <v>115</v>
      </c>
      <c r="FY34" s="2">
        <v>76.5</v>
      </c>
      <c r="FZ34" s="2"/>
      <c r="GA34" s="2" t="s">
        <v>3</v>
      </c>
      <c r="GB34" s="2"/>
      <c r="GC34" s="2"/>
      <c r="GD34" s="2">
        <v>0</v>
      </c>
      <c r="GE34" s="2"/>
      <c r="GF34" s="2">
        <v>1612076454</v>
      </c>
      <c r="GG34" s="2">
        <v>2</v>
      </c>
      <c r="GH34" s="2">
        <v>1</v>
      </c>
      <c r="GI34" s="2">
        <v>-2</v>
      </c>
      <c r="GJ34" s="2">
        <v>0</v>
      </c>
      <c r="GK34" s="2">
        <f>ROUND(R34*(R12)/100,2)</f>
        <v>0</v>
      </c>
      <c r="GL34" s="2">
        <f t="shared" si="43"/>
        <v>0</v>
      </c>
      <c r="GM34" s="2">
        <f t="shared" si="44"/>
        <v>0</v>
      </c>
      <c r="GN34" s="2">
        <f t="shared" si="45"/>
        <v>0</v>
      </c>
      <c r="GO34" s="2">
        <f t="shared" si="46"/>
        <v>0</v>
      </c>
      <c r="GP34" s="2">
        <f t="shared" si="47"/>
        <v>0</v>
      </c>
      <c r="GQ34" s="2"/>
      <c r="GR34" s="2">
        <v>0</v>
      </c>
      <c r="GS34" s="2">
        <v>3</v>
      </c>
      <c r="GT34" s="2">
        <v>0</v>
      </c>
      <c r="GU34" s="2" t="s">
        <v>3</v>
      </c>
      <c r="GV34" s="2">
        <f t="shared" si="48"/>
        <v>0</v>
      </c>
      <c r="GW34" s="2">
        <v>1</v>
      </c>
      <c r="GX34" s="2">
        <f t="shared" si="49"/>
        <v>0</v>
      </c>
      <c r="GY34" s="2"/>
      <c r="GZ34" s="2"/>
      <c r="HA34" s="2">
        <v>0</v>
      </c>
      <c r="HB34" s="2">
        <v>0</v>
      </c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>
        <v>0</v>
      </c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>
      <c r="A35">
        <v>18</v>
      </c>
      <c r="B35">
        <v>1</v>
      </c>
      <c r="C35">
        <v>30</v>
      </c>
      <c r="E35" t="s">
        <v>51</v>
      </c>
      <c r="F35" t="s">
        <v>52</v>
      </c>
      <c r="G35" t="s">
        <v>53</v>
      </c>
      <c r="H35" t="s">
        <v>54</v>
      </c>
      <c r="I35">
        <f>I33*J35</f>
        <v>1</v>
      </c>
      <c r="J35">
        <v>2.0612181799443472</v>
      </c>
      <c r="O35">
        <f t="shared" si="14"/>
        <v>169.33</v>
      </c>
      <c r="P35">
        <f t="shared" si="15"/>
        <v>169.33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</v>
      </c>
      <c r="X35">
        <f t="shared" si="23"/>
        <v>0</v>
      </c>
      <c r="Y35">
        <f t="shared" si="24"/>
        <v>0</v>
      </c>
      <c r="AA35">
        <v>34847877</v>
      </c>
      <c r="AB35">
        <f t="shared" si="25"/>
        <v>28.7</v>
      </c>
      <c r="AC35">
        <f t="shared" si="26"/>
        <v>28.7</v>
      </c>
      <c r="AD35">
        <f>ROUND((((ET35)-(EU35))+AE35),6)</f>
        <v>0</v>
      </c>
      <c r="AE35">
        <f t="shared" si="51"/>
        <v>0</v>
      </c>
      <c r="AF35">
        <f t="shared" si="51"/>
        <v>0</v>
      </c>
      <c r="AG35">
        <f t="shared" si="28"/>
        <v>0</v>
      </c>
      <c r="AH35">
        <f t="shared" si="50"/>
        <v>0</v>
      </c>
      <c r="AI35">
        <f t="shared" si="50"/>
        <v>0</v>
      </c>
      <c r="AJ35">
        <f t="shared" si="30"/>
        <v>0</v>
      </c>
      <c r="AK35">
        <v>28.7</v>
      </c>
      <c r="AL35">
        <v>28.7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98</v>
      </c>
      <c r="AU35">
        <v>61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5.9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55</v>
      </c>
      <c r="BM35">
        <v>47001</v>
      </c>
      <c r="BN35">
        <v>0</v>
      </c>
      <c r="BO35" t="s">
        <v>3</v>
      </c>
      <c r="BP35">
        <v>0</v>
      </c>
      <c r="BQ35">
        <v>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115</v>
      </c>
      <c r="CA35">
        <v>90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1"/>
        <v>169.33</v>
      </c>
      <c r="CQ35">
        <f t="shared" si="32"/>
        <v>169.33</v>
      </c>
      <c r="CR35">
        <f t="shared" si="33"/>
        <v>0</v>
      </c>
      <c r="CS35">
        <f t="shared" si="34"/>
        <v>0</v>
      </c>
      <c r="CT35">
        <f t="shared" si="35"/>
        <v>0</v>
      </c>
      <c r="CU35">
        <f t="shared" si="36"/>
        <v>0</v>
      </c>
      <c r="CV35">
        <f t="shared" si="37"/>
        <v>0</v>
      </c>
      <c r="CW35">
        <f t="shared" si="38"/>
        <v>0</v>
      </c>
      <c r="CX35">
        <f t="shared" si="39"/>
        <v>0</v>
      </c>
      <c r="CY35">
        <f t="shared" si="40"/>
        <v>0</v>
      </c>
      <c r="CZ35">
        <f t="shared" si="41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54</v>
      </c>
      <c r="DW35" t="s">
        <v>54</v>
      </c>
      <c r="DX35">
        <v>1</v>
      </c>
      <c r="EE35">
        <v>24085429</v>
      </c>
      <c r="EF35">
        <v>2</v>
      </c>
      <c r="EG35" t="s">
        <v>33</v>
      </c>
      <c r="EH35">
        <v>0</v>
      </c>
      <c r="EI35" t="s">
        <v>3</v>
      </c>
      <c r="EJ35">
        <v>1</v>
      </c>
      <c r="EK35">
        <v>47001</v>
      </c>
      <c r="EL35" t="s">
        <v>49</v>
      </c>
      <c r="EM35" t="s">
        <v>50</v>
      </c>
      <c r="EO35" t="s">
        <v>3</v>
      </c>
      <c r="EQ35">
        <v>0</v>
      </c>
      <c r="ER35">
        <v>28.7</v>
      </c>
      <c r="ES35">
        <v>28.7</v>
      </c>
      <c r="ET35">
        <v>0</v>
      </c>
      <c r="EU35">
        <v>0</v>
      </c>
      <c r="EV35">
        <v>0</v>
      </c>
      <c r="EW35">
        <v>0</v>
      </c>
      <c r="EX35">
        <v>0</v>
      </c>
      <c r="EZ35">
        <v>5</v>
      </c>
      <c r="FC35">
        <v>1</v>
      </c>
      <c r="FD35">
        <v>18</v>
      </c>
      <c r="FF35">
        <v>195.9</v>
      </c>
      <c r="FQ35">
        <v>0</v>
      </c>
      <c r="FR35">
        <f t="shared" si="42"/>
        <v>0</v>
      </c>
      <c r="FS35">
        <v>0</v>
      </c>
      <c r="FU35" t="s">
        <v>21</v>
      </c>
      <c r="FV35" t="s">
        <v>21</v>
      </c>
      <c r="FW35" t="s">
        <v>22</v>
      </c>
      <c r="FX35">
        <v>115</v>
      </c>
      <c r="FY35">
        <v>76.5</v>
      </c>
      <c r="GA35" t="s">
        <v>56</v>
      </c>
      <c r="GD35">
        <v>0</v>
      </c>
      <c r="GF35">
        <v>1612076454</v>
      </c>
      <c r="GG35">
        <v>2</v>
      </c>
      <c r="GH35">
        <v>3</v>
      </c>
      <c r="GI35">
        <v>4</v>
      </c>
      <c r="GJ35">
        <v>0</v>
      </c>
      <c r="GK35">
        <f>ROUND(R35*(S12)/100,2)</f>
        <v>0</v>
      </c>
      <c r="GL35">
        <f t="shared" si="43"/>
        <v>0</v>
      </c>
      <c r="GM35">
        <f t="shared" si="44"/>
        <v>169.33</v>
      </c>
      <c r="GN35">
        <f t="shared" si="45"/>
        <v>169.33</v>
      </c>
      <c r="GO35">
        <f t="shared" si="46"/>
        <v>0</v>
      </c>
      <c r="GP35">
        <f t="shared" si="47"/>
        <v>0</v>
      </c>
      <c r="GR35">
        <v>1</v>
      </c>
      <c r="GS35">
        <v>1</v>
      </c>
      <c r="GT35">
        <v>0</v>
      </c>
      <c r="GU35" t="s">
        <v>3</v>
      </c>
      <c r="GV35">
        <f t="shared" si="48"/>
        <v>0</v>
      </c>
      <c r="GW35">
        <v>1</v>
      </c>
      <c r="GX35">
        <f t="shared" si="49"/>
        <v>0</v>
      </c>
      <c r="HA35">
        <v>0</v>
      </c>
      <c r="HB35">
        <v>0</v>
      </c>
      <c r="IK35">
        <v>0</v>
      </c>
    </row>
    <row r="36" spans="1:255">
      <c r="A36" s="2">
        <v>17</v>
      </c>
      <c r="B36" s="2">
        <v>1</v>
      </c>
      <c r="C36" s="2">
        <f>ROW(SmtRes!A38)</f>
        <v>38</v>
      </c>
      <c r="D36" s="2">
        <f>ROW(EtalonRes!A38)</f>
        <v>38</v>
      </c>
      <c r="E36" s="2" t="s">
        <v>57</v>
      </c>
      <c r="F36" s="2" t="s">
        <v>58</v>
      </c>
      <c r="G36" s="2" t="s">
        <v>59</v>
      </c>
      <c r="H36" s="2" t="s">
        <v>60</v>
      </c>
      <c r="I36" s="2">
        <f>ROUND(74.4/100,9)</f>
        <v>0.74399999999999999</v>
      </c>
      <c r="J36" s="2">
        <v>0</v>
      </c>
      <c r="K36" s="2"/>
      <c r="L36" s="2"/>
      <c r="M36" s="2"/>
      <c r="N36" s="2"/>
      <c r="O36" s="2">
        <f t="shared" si="14"/>
        <v>2086.9299999999998</v>
      </c>
      <c r="P36" s="2">
        <f t="shared" si="15"/>
        <v>8.41</v>
      </c>
      <c r="Q36" s="2">
        <f t="shared" si="16"/>
        <v>1990.83</v>
      </c>
      <c r="R36" s="2">
        <f t="shared" si="17"/>
        <v>162.13</v>
      </c>
      <c r="S36" s="2">
        <f t="shared" si="18"/>
        <v>87.69</v>
      </c>
      <c r="T36" s="2">
        <f t="shared" si="19"/>
        <v>0</v>
      </c>
      <c r="U36" s="2">
        <f t="shared" si="20"/>
        <v>13.450032</v>
      </c>
      <c r="V36" s="2">
        <f t="shared" si="21"/>
        <v>12.9084</v>
      </c>
      <c r="W36" s="2">
        <f t="shared" si="22"/>
        <v>0</v>
      </c>
      <c r="X36" s="2">
        <f t="shared" si="23"/>
        <v>354.74</v>
      </c>
      <c r="Y36" s="2">
        <f t="shared" si="24"/>
        <v>202.35</v>
      </c>
      <c r="Z36" s="2"/>
      <c r="AA36" s="2">
        <v>34847864</v>
      </c>
      <c r="AB36" s="2">
        <f t="shared" si="25"/>
        <v>2805.0135</v>
      </c>
      <c r="AC36" s="2">
        <f t="shared" si="26"/>
        <v>11.3</v>
      </c>
      <c r="AD36" s="2">
        <f>ROUND(((((ET36*1.25))-((EU36*1.25)))+AE36),6)</f>
        <v>2675.85</v>
      </c>
      <c r="AE36" s="2">
        <f>ROUND(((EU36*1.25)),6)</f>
        <v>217.91249999999999</v>
      </c>
      <c r="AF36" s="2">
        <f>ROUND(((EV36*1.15)),6)</f>
        <v>117.8635</v>
      </c>
      <c r="AG36" s="2">
        <f t="shared" si="28"/>
        <v>0</v>
      </c>
      <c r="AH36" s="2">
        <f>((EW36*1.15))</f>
        <v>18.077999999999999</v>
      </c>
      <c r="AI36" s="2">
        <f>((EX36*1.25))</f>
        <v>17.350000000000001</v>
      </c>
      <c r="AJ36" s="2">
        <f t="shared" si="30"/>
        <v>0</v>
      </c>
      <c r="AK36" s="2">
        <v>2254.4699999999998</v>
      </c>
      <c r="AL36" s="2">
        <v>11.3</v>
      </c>
      <c r="AM36" s="2">
        <v>2140.6799999999998</v>
      </c>
      <c r="AN36" s="2">
        <v>174.33</v>
      </c>
      <c r="AO36" s="2">
        <v>102.49</v>
      </c>
      <c r="AP36" s="2">
        <v>0</v>
      </c>
      <c r="AQ36" s="2">
        <v>15.72</v>
      </c>
      <c r="AR36" s="2">
        <v>13.88</v>
      </c>
      <c r="AS36" s="2">
        <v>0</v>
      </c>
      <c r="AT36" s="2">
        <v>142</v>
      </c>
      <c r="AU36" s="2">
        <v>81</v>
      </c>
      <c r="AV36" s="2">
        <v>1</v>
      </c>
      <c r="AW36" s="2">
        <v>1</v>
      </c>
      <c r="AX36" s="2"/>
      <c r="AY36" s="2"/>
      <c r="AZ36" s="2">
        <v>1</v>
      </c>
      <c r="BA36" s="2">
        <v>1</v>
      </c>
      <c r="BB36" s="2">
        <v>1</v>
      </c>
      <c r="BC36" s="2">
        <v>1</v>
      </c>
      <c r="BD36" s="2" t="s">
        <v>3</v>
      </c>
      <c r="BE36" s="2" t="s">
        <v>3</v>
      </c>
      <c r="BF36" s="2" t="s">
        <v>3</v>
      </c>
      <c r="BG36" s="2" t="s">
        <v>3</v>
      </c>
      <c r="BH36" s="2">
        <v>0</v>
      </c>
      <c r="BI36" s="2">
        <v>1</v>
      </c>
      <c r="BJ36" s="2" t="s">
        <v>61</v>
      </c>
      <c r="BK36" s="2"/>
      <c r="BL36" s="2"/>
      <c r="BM36" s="2">
        <v>27001</v>
      </c>
      <c r="BN36" s="2">
        <v>0</v>
      </c>
      <c r="BO36" s="2" t="s">
        <v>3</v>
      </c>
      <c r="BP36" s="2">
        <v>0</v>
      </c>
      <c r="BQ36" s="2">
        <v>2</v>
      </c>
      <c r="BR36" s="2">
        <v>0</v>
      </c>
      <c r="BS36" s="2">
        <v>1</v>
      </c>
      <c r="BT36" s="2">
        <v>1</v>
      </c>
      <c r="BU36" s="2">
        <v>1</v>
      </c>
      <c r="BV36" s="2">
        <v>1</v>
      </c>
      <c r="BW36" s="2">
        <v>1</v>
      </c>
      <c r="BX36" s="2">
        <v>1</v>
      </c>
      <c r="BY36" s="2" t="s">
        <v>3</v>
      </c>
      <c r="BZ36" s="2">
        <v>142</v>
      </c>
      <c r="CA36" s="2">
        <v>95</v>
      </c>
      <c r="CB36" s="2"/>
      <c r="CC36" s="2"/>
      <c r="CD36" s="2"/>
      <c r="CE36" s="2"/>
      <c r="CF36" s="2">
        <v>0</v>
      </c>
      <c r="CG36" s="2">
        <v>0</v>
      </c>
      <c r="CH36" s="2"/>
      <c r="CI36" s="2"/>
      <c r="CJ36" s="2"/>
      <c r="CK36" s="2"/>
      <c r="CL36" s="2"/>
      <c r="CM36" s="2">
        <v>0</v>
      </c>
      <c r="CN36" s="2" t="s">
        <v>3</v>
      </c>
      <c r="CO36" s="2">
        <v>0</v>
      </c>
      <c r="CP36" s="2">
        <f t="shared" si="31"/>
        <v>2086.9299999999998</v>
      </c>
      <c r="CQ36" s="2">
        <f t="shared" si="32"/>
        <v>11.3</v>
      </c>
      <c r="CR36" s="2">
        <f t="shared" si="33"/>
        <v>2675.85</v>
      </c>
      <c r="CS36" s="2">
        <f t="shared" si="34"/>
        <v>217.91249999999999</v>
      </c>
      <c r="CT36" s="2">
        <f t="shared" si="35"/>
        <v>117.8635</v>
      </c>
      <c r="CU36" s="2">
        <f t="shared" si="36"/>
        <v>0</v>
      </c>
      <c r="CV36" s="2">
        <f t="shared" si="37"/>
        <v>18.077999999999999</v>
      </c>
      <c r="CW36" s="2">
        <f t="shared" si="38"/>
        <v>17.350000000000001</v>
      </c>
      <c r="CX36" s="2">
        <f t="shared" si="39"/>
        <v>0</v>
      </c>
      <c r="CY36" s="2">
        <f t="shared" si="40"/>
        <v>354.74440000000004</v>
      </c>
      <c r="CZ36" s="2">
        <f t="shared" si="41"/>
        <v>202.35419999999999</v>
      </c>
      <c r="DA36" s="2"/>
      <c r="DB36" s="2"/>
      <c r="DC36" s="2" t="s">
        <v>3</v>
      </c>
      <c r="DD36" s="2" t="s">
        <v>3</v>
      </c>
      <c r="DE36" s="2" t="s">
        <v>62</v>
      </c>
      <c r="DF36" s="2" t="s">
        <v>62</v>
      </c>
      <c r="DG36" s="2" t="s">
        <v>63</v>
      </c>
      <c r="DH36" s="2" t="s">
        <v>3</v>
      </c>
      <c r="DI36" s="2" t="s">
        <v>63</v>
      </c>
      <c r="DJ36" s="2" t="s">
        <v>62</v>
      </c>
      <c r="DK36" s="2" t="s">
        <v>3</v>
      </c>
      <c r="DL36" s="2" t="s">
        <v>3</v>
      </c>
      <c r="DM36" s="2" t="s">
        <v>3</v>
      </c>
      <c r="DN36" s="2">
        <v>0</v>
      </c>
      <c r="DO36" s="2">
        <v>0</v>
      </c>
      <c r="DP36" s="2">
        <v>1</v>
      </c>
      <c r="DQ36" s="2">
        <v>1</v>
      </c>
      <c r="DR36" s="2"/>
      <c r="DS36" s="2"/>
      <c r="DT36" s="2"/>
      <c r="DU36" s="2">
        <v>1013</v>
      </c>
      <c r="DV36" s="2" t="s">
        <v>60</v>
      </c>
      <c r="DW36" s="2" t="s">
        <v>60</v>
      </c>
      <c r="DX36" s="2">
        <v>1</v>
      </c>
      <c r="DY36" s="2"/>
      <c r="DZ36" s="2"/>
      <c r="EA36" s="2"/>
      <c r="EB36" s="2"/>
      <c r="EC36" s="2"/>
      <c r="ED36" s="2"/>
      <c r="EE36" s="2">
        <v>24085400</v>
      </c>
      <c r="EF36" s="2">
        <v>2</v>
      </c>
      <c r="EG36" s="2" t="s">
        <v>33</v>
      </c>
      <c r="EH36" s="2">
        <v>0</v>
      </c>
      <c r="EI36" s="2" t="s">
        <v>3</v>
      </c>
      <c r="EJ36" s="2">
        <v>1</v>
      </c>
      <c r="EK36" s="2">
        <v>27001</v>
      </c>
      <c r="EL36" s="2" t="s">
        <v>64</v>
      </c>
      <c r="EM36" s="2" t="s">
        <v>65</v>
      </c>
      <c r="EN36" s="2"/>
      <c r="EO36" s="2" t="s">
        <v>3</v>
      </c>
      <c r="EP36" s="2"/>
      <c r="EQ36" s="2">
        <v>0</v>
      </c>
      <c r="ER36" s="2">
        <v>2254.4699999999998</v>
      </c>
      <c r="ES36" s="2">
        <v>11.3</v>
      </c>
      <c r="ET36" s="2">
        <v>2140.6799999999998</v>
      </c>
      <c r="EU36" s="2">
        <v>174.33</v>
      </c>
      <c r="EV36" s="2">
        <v>102.49</v>
      </c>
      <c r="EW36" s="2">
        <v>15.72</v>
      </c>
      <c r="EX36" s="2">
        <v>13.88</v>
      </c>
      <c r="EY36" s="2">
        <v>0</v>
      </c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>
        <v>0</v>
      </c>
      <c r="FR36" s="2">
        <f t="shared" si="42"/>
        <v>0</v>
      </c>
      <c r="FS36" s="2">
        <v>0</v>
      </c>
      <c r="FT36" s="2"/>
      <c r="FU36" s="2" t="s">
        <v>21</v>
      </c>
      <c r="FV36" s="2"/>
      <c r="FW36" s="2"/>
      <c r="FX36" s="2">
        <v>142</v>
      </c>
      <c r="FY36" s="2">
        <v>80.75</v>
      </c>
      <c r="FZ36" s="2"/>
      <c r="GA36" s="2" t="s">
        <v>3</v>
      </c>
      <c r="GB36" s="2"/>
      <c r="GC36" s="2"/>
      <c r="GD36" s="2">
        <v>0</v>
      </c>
      <c r="GE36" s="2"/>
      <c r="GF36" s="2">
        <v>2010671087</v>
      </c>
      <c r="GG36" s="2">
        <v>2</v>
      </c>
      <c r="GH36" s="2">
        <v>1</v>
      </c>
      <c r="GI36" s="2">
        <v>-2</v>
      </c>
      <c r="GJ36" s="2">
        <v>0</v>
      </c>
      <c r="GK36" s="2">
        <f>ROUND(R36*(R12)/100,2)</f>
        <v>0</v>
      </c>
      <c r="GL36" s="2">
        <f t="shared" si="43"/>
        <v>0</v>
      </c>
      <c r="GM36" s="2">
        <f t="shared" si="44"/>
        <v>2644.02</v>
      </c>
      <c r="GN36" s="2">
        <f t="shared" si="45"/>
        <v>2644.02</v>
      </c>
      <c r="GO36" s="2">
        <f t="shared" si="46"/>
        <v>0</v>
      </c>
      <c r="GP36" s="2">
        <f t="shared" si="47"/>
        <v>0</v>
      </c>
      <c r="GQ36" s="2"/>
      <c r="GR36" s="2">
        <v>0</v>
      </c>
      <c r="GS36" s="2">
        <v>3</v>
      </c>
      <c r="GT36" s="2">
        <v>0</v>
      </c>
      <c r="GU36" s="2" t="s">
        <v>3</v>
      </c>
      <c r="GV36" s="2">
        <f t="shared" si="48"/>
        <v>0</v>
      </c>
      <c r="GW36" s="2">
        <v>1</v>
      </c>
      <c r="GX36" s="2">
        <f t="shared" si="49"/>
        <v>0</v>
      </c>
      <c r="GY36" s="2"/>
      <c r="GZ36" s="2"/>
      <c r="HA36" s="2">
        <v>0</v>
      </c>
      <c r="HB36" s="2">
        <v>0</v>
      </c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>
        <v>0</v>
      </c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>
      <c r="A37">
        <v>17</v>
      </c>
      <c r="B37">
        <v>1</v>
      </c>
      <c r="C37">
        <f>ROW(SmtRes!A46)</f>
        <v>46</v>
      </c>
      <c r="D37">
        <f>ROW(EtalonRes!A46)</f>
        <v>46</v>
      </c>
      <c r="E37" t="s">
        <v>57</v>
      </c>
      <c r="F37" t="s">
        <v>58</v>
      </c>
      <c r="G37" t="s">
        <v>59</v>
      </c>
      <c r="H37" t="s">
        <v>60</v>
      </c>
      <c r="I37">
        <f>ROUND(74.4/100,9)</f>
        <v>0.74399999999999999</v>
      </c>
      <c r="J37">
        <v>0</v>
      </c>
      <c r="O37">
        <f t="shared" si="14"/>
        <v>13854.3</v>
      </c>
      <c r="P37">
        <f t="shared" si="15"/>
        <v>49.6</v>
      </c>
      <c r="Q37">
        <f t="shared" si="16"/>
        <v>12363.07</v>
      </c>
      <c r="R37">
        <f t="shared" si="17"/>
        <v>2665.37</v>
      </c>
      <c r="S37">
        <f t="shared" si="18"/>
        <v>1441.63</v>
      </c>
      <c r="T37">
        <f t="shared" si="19"/>
        <v>0</v>
      </c>
      <c r="U37">
        <f t="shared" si="20"/>
        <v>13.450032</v>
      </c>
      <c r="V37">
        <f t="shared" si="21"/>
        <v>12.9084</v>
      </c>
      <c r="W37">
        <f t="shared" si="22"/>
        <v>0</v>
      </c>
      <c r="X37">
        <f t="shared" si="23"/>
        <v>4969.47</v>
      </c>
      <c r="Y37">
        <f t="shared" si="24"/>
        <v>2669.55</v>
      </c>
      <c r="AA37">
        <v>34847877</v>
      </c>
      <c r="AB37">
        <f t="shared" si="25"/>
        <v>2805.0135</v>
      </c>
      <c r="AC37">
        <f t="shared" si="26"/>
        <v>11.3</v>
      </c>
      <c r="AD37">
        <f>ROUND(((((ET37*1.25))-((EU37*1.25)))+AE37),6)</f>
        <v>2675.85</v>
      </c>
      <c r="AE37">
        <f>ROUND(((EU37*1.25)),6)</f>
        <v>217.91249999999999</v>
      </c>
      <c r="AF37">
        <f>ROUND(((EV37*1.15)),6)</f>
        <v>117.8635</v>
      </c>
      <c r="AG37">
        <f t="shared" si="28"/>
        <v>0</v>
      </c>
      <c r="AH37">
        <f>((EW37*1.15))</f>
        <v>18.077999999999999</v>
      </c>
      <c r="AI37">
        <f>((EX37*1.25))</f>
        <v>17.350000000000001</v>
      </c>
      <c r="AJ37">
        <f t="shared" si="30"/>
        <v>0</v>
      </c>
      <c r="AK37">
        <v>2254.4699999999998</v>
      </c>
      <c r="AL37">
        <v>11.3</v>
      </c>
      <c r="AM37">
        <v>2140.6799999999998</v>
      </c>
      <c r="AN37">
        <v>174.33</v>
      </c>
      <c r="AO37">
        <v>102.49</v>
      </c>
      <c r="AP37">
        <v>0</v>
      </c>
      <c r="AQ37">
        <v>15.72</v>
      </c>
      <c r="AR37">
        <v>13.88</v>
      </c>
      <c r="AS37">
        <v>0</v>
      </c>
      <c r="AT37">
        <v>121</v>
      </c>
      <c r="AU37">
        <v>65</v>
      </c>
      <c r="AV37">
        <v>1</v>
      </c>
      <c r="AW37">
        <v>1</v>
      </c>
      <c r="AZ37">
        <v>1</v>
      </c>
      <c r="BA37">
        <v>16.440000000000001</v>
      </c>
      <c r="BB37">
        <v>6.21</v>
      </c>
      <c r="BC37">
        <v>5.9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1</v>
      </c>
      <c r="BJ37" t="s">
        <v>61</v>
      </c>
      <c r="BM37">
        <v>27001</v>
      </c>
      <c r="BN37">
        <v>0</v>
      </c>
      <c r="BO37" t="s">
        <v>3</v>
      </c>
      <c r="BP37">
        <v>0</v>
      </c>
      <c r="BQ37">
        <v>2</v>
      </c>
      <c r="BR37">
        <v>0</v>
      </c>
      <c r="BS37">
        <v>16.440000000000001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142</v>
      </c>
      <c r="CA37">
        <v>95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1"/>
        <v>13854.3</v>
      </c>
      <c r="CQ37">
        <f t="shared" si="32"/>
        <v>66.67</v>
      </c>
      <c r="CR37">
        <f t="shared" si="33"/>
        <v>16617.0285</v>
      </c>
      <c r="CS37">
        <f t="shared" si="34"/>
        <v>3582.4815000000003</v>
      </c>
      <c r="CT37">
        <f t="shared" si="35"/>
        <v>1937.6759400000001</v>
      </c>
      <c r="CU37">
        <f t="shared" si="36"/>
        <v>0</v>
      </c>
      <c r="CV37">
        <f t="shared" si="37"/>
        <v>18.077999999999999</v>
      </c>
      <c r="CW37">
        <f t="shared" si="38"/>
        <v>17.350000000000001</v>
      </c>
      <c r="CX37">
        <f t="shared" si="39"/>
        <v>0</v>
      </c>
      <c r="CY37">
        <f t="shared" si="40"/>
        <v>4969.47</v>
      </c>
      <c r="CZ37">
        <f t="shared" si="41"/>
        <v>2669.55</v>
      </c>
      <c r="DC37" t="s">
        <v>3</v>
      </c>
      <c r="DD37" t="s">
        <v>3</v>
      </c>
      <c r="DE37" t="s">
        <v>62</v>
      </c>
      <c r="DF37" t="s">
        <v>62</v>
      </c>
      <c r="DG37" t="s">
        <v>63</v>
      </c>
      <c r="DH37" t="s">
        <v>3</v>
      </c>
      <c r="DI37" t="s">
        <v>63</v>
      </c>
      <c r="DJ37" t="s">
        <v>62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60</v>
      </c>
      <c r="DW37" t="s">
        <v>60</v>
      </c>
      <c r="DX37">
        <v>1</v>
      </c>
      <c r="EE37">
        <v>24085400</v>
      </c>
      <c r="EF37">
        <v>2</v>
      </c>
      <c r="EG37" t="s">
        <v>33</v>
      </c>
      <c r="EH37">
        <v>0</v>
      </c>
      <c r="EI37" t="s">
        <v>3</v>
      </c>
      <c r="EJ37">
        <v>1</v>
      </c>
      <c r="EK37">
        <v>27001</v>
      </c>
      <c r="EL37" t="s">
        <v>64</v>
      </c>
      <c r="EM37" t="s">
        <v>65</v>
      </c>
      <c r="EO37" t="s">
        <v>3</v>
      </c>
      <c r="EQ37">
        <v>0</v>
      </c>
      <c r="ER37">
        <v>2254.4699999999998</v>
      </c>
      <c r="ES37">
        <v>11.3</v>
      </c>
      <c r="ET37">
        <v>2140.6799999999998</v>
      </c>
      <c r="EU37">
        <v>174.33</v>
      </c>
      <c r="EV37">
        <v>102.49</v>
      </c>
      <c r="EW37">
        <v>15.72</v>
      </c>
      <c r="EX37">
        <v>13.88</v>
      </c>
      <c r="EY37">
        <v>0</v>
      </c>
      <c r="FQ37">
        <v>0</v>
      </c>
      <c r="FR37">
        <f t="shared" si="42"/>
        <v>0</v>
      </c>
      <c r="FS37">
        <v>0</v>
      </c>
      <c r="FU37" t="s">
        <v>21</v>
      </c>
      <c r="FV37" t="s">
        <v>21</v>
      </c>
      <c r="FW37" t="s">
        <v>22</v>
      </c>
      <c r="FX37">
        <v>142</v>
      </c>
      <c r="FY37">
        <v>80.75</v>
      </c>
      <c r="GA37" t="s">
        <v>3</v>
      </c>
      <c r="GD37">
        <v>0</v>
      </c>
      <c r="GF37">
        <v>2010671087</v>
      </c>
      <c r="GG37">
        <v>2</v>
      </c>
      <c r="GH37">
        <v>1</v>
      </c>
      <c r="GI37">
        <v>4</v>
      </c>
      <c r="GJ37">
        <v>0</v>
      </c>
      <c r="GK37">
        <f>ROUND(R37*(S12)/100,2)</f>
        <v>0</v>
      </c>
      <c r="GL37">
        <f t="shared" si="43"/>
        <v>0</v>
      </c>
      <c r="GM37">
        <f t="shared" si="44"/>
        <v>21493.32</v>
      </c>
      <c r="GN37">
        <f t="shared" si="45"/>
        <v>21493.32</v>
      </c>
      <c r="GO37">
        <f t="shared" si="46"/>
        <v>0</v>
      </c>
      <c r="GP37">
        <f t="shared" si="47"/>
        <v>0</v>
      </c>
      <c r="GR37">
        <v>0</v>
      </c>
      <c r="GS37">
        <v>3</v>
      </c>
      <c r="GT37">
        <v>0</v>
      </c>
      <c r="GU37" t="s">
        <v>3</v>
      </c>
      <c r="GV37">
        <f t="shared" si="48"/>
        <v>0</v>
      </c>
      <c r="GW37">
        <v>1</v>
      </c>
      <c r="GX37">
        <f t="shared" si="49"/>
        <v>0</v>
      </c>
      <c r="HA37">
        <v>0</v>
      </c>
      <c r="HB37">
        <v>0</v>
      </c>
      <c r="IK37">
        <v>0</v>
      </c>
    </row>
    <row r="38" spans="1:255">
      <c r="A38" s="2">
        <v>18</v>
      </c>
      <c r="B38" s="2">
        <v>1</v>
      </c>
      <c r="C38" s="2">
        <v>37</v>
      </c>
      <c r="D38" s="2"/>
      <c r="E38" s="2" t="s">
        <v>66</v>
      </c>
      <c r="F38" s="2" t="s">
        <v>67</v>
      </c>
      <c r="G38" s="2" t="s">
        <v>68</v>
      </c>
      <c r="H38" s="2" t="s">
        <v>69</v>
      </c>
      <c r="I38" s="2">
        <f>I36*J38</f>
        <v>81.84</v>
      </c>
      <c r="J38" s="2">
        <v>110</v>
      </c>
      <c r="K38" s="2"/>
      <c r="L38" s="2"/>
      <c r="M38" s="2"/>
      <c r="N38" s="2"/>
      <c r="O38" s="2">
        <f t="shared" si="14"/>
        <v>4187.75</v>
      </c>
      <c r="P38" s="2">
        <f t="shared" si="15"/>
        <v>4187.75</v>
      </c>
      <c r="Q38" s="2">
        <f t="shared" si="16"/>
        <v>0</v>
      </c>
      <c r="R38" s="2">
        <f t="shared" si="17"/>
        <v>0</v>
      </c>
      <c r="S38" s="2">
        <f t="shared" si="18"/>
        <v>0</v>
      </c>
      <c r="T38" s="2">
        <f t="shared" si="19"/>
        <v>0</v>
      </c>
      <c r="U38" s="2">
        <f t="shared" si="20"/>
        <v>0</v>
      </c>
      <c r="V38" s="2">
        <f t="shared" si="21"/>
        <v>0</v>
      </c>
      <c r="W38" s="2">
        <f t="shared" si="22"/>
        <v>0</v>
      </c>
      <c r="X38" s="2">
        <f t="shared" si="23"/>
        <v>0</v>
      </c>
      <c r="Y38" s="2">
        <f t="shared" si="24"/>
        <v>0</v>
      </c>
      <c r="Z38" s="2"/>
      <c r="AA38" s="2">
        <v>34847864</v>
      </c>
      <c r="AB38" s="2">
        <f t="shared" si="25"/>
        <v>51.17</v>
      </c>
      <c r="AC38" s="2">
        <f t="shared" si="26"/>
        <v>51.17</v>
      </c>
      <c r="AD38" s="2">
        <f>ROUND((((ET38)-(EU38))+AE38),6)</f>
        <v>0</v>
      </c>
      <c r="AE38" s="2">
        <f>ROUND((EU38),6)</f>
        <v>0</v>
      </c>
      <c r="AF38" s="2">
        <f>ROUND((EV38),6)</f>
        <v>0</v>
      </c>
      <c r="AG38" s="2">
        <f t="shared" si="28"/>
        <v>0</v>
      </c>
      <c r="AH38" s="2">
        <f>(EW38)</f>
        <v>0</v>
      </c>
      <c r="AI38" s="2">
        <f>(EX38)</f>
        <v>0</v>
      </c>
      <c r="AJ38" s="2">
        <f t="shared" si="30"/>
        <v>0</v>
      </c>
      <c r="AK38" s="2">
        <v>51.17</v>
      </c>
      <c r="AL38" s="2">
        <v>51.17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142</v>
      </c>
      <c r="AU38" s="2">
        <v>81</v>
      </c>
      <c r="AV38" s="2">
        <v>1</v>
      </c>
      <c r="AW38" s="2">
        <v>1</v>
      </c>
      <c r="AX38" s="2"/>
      <c r="AY38" s="2"/>
      <c r="AZ38" s="2">
        <v>1</v>
      </c>
      <c r="BA38" s="2">
        <v>1</v>
      </c>
      <c r="BB38" s="2">
        <v>1</v>
      </c>
      <c r="BC38" s="2">
        <v>1</v>
      </c>
      <c r="BD38" s="2" t="s">
        <v>3</v>
      </c>
      <c r="BE38" s="2" t="s">
        <v>3</v>
      </c>
      <c r="BF38" s="2" t="s">
        <v>3</v>
      </c>
      <c r="BG38" s="2" t="s">
        <v>3</v>
      </c>
      <c r="BH38" s="2">
        <v>3</v>
      </c>
      <c r="BI38" s="2">
        <v>1</v>
      </c>
      <c r="BJ38" s="2" t="s">
        <v>70</v>
      </c>
      <c r="BK38" s="2"/>
      <c r="BL38" s="2"/>
      <c r="BM38" s="2">
        <v>27001</v>
      </c>
      <c r="BN38" s="2">
        <v>0</v>
      </c>
      <c r="BO38" s="2" t="s">
        <v>3</v>
      </c>
      <c r="BP38" s="2">
        <v>0</v>
      </c>
      <c r="BQ38" s="2">
        <v>2</v>
      </c>
      <c r="BR38" s="2">
        <v>0</v>
      </c>
      <c r="BS38" s="2">
        <v>1</v>
      </c>
      <c r="BT38" s="2">
        <v>1</v>
      </c>
      <c r="BU38" s="2">
        <v>1</v>
      </c>
      <c r="BV38" s="2">
        <v>1</v>
      </c>
      <c r="BW38" s="2">
        <v>1</v>
      </c>
      <c r="BX38" s="2">
        <v>1</v>
      </c>
      <c r="BY38" s="2" t="s">
        <v>3</v>
      </c>
      <c r="BZ38" s="2">
        <v>142</v>
      </c>
      <c r="CA38" s="2">
        <v>95</v>
      </c>
      <c r="CB38" s="2"/>
      <c r="CC38" s="2"/>
      <c r="CD38" s="2"/>
      <c r="CE38" s="2"/>
      <c r="CF38" s="2">
        <v>0</v>
      </c>
      <c r="CG38" s="2">
        <v>0</v>
      </c>
      <c r="CH38" s="2"/>
      <c r="CI38" s="2"/>
      <c r="CJ38" s="2"/>
      <c r="CK38" s="2"/>
      <c r="CL38" s="2"/>
      <c r="CM38" s="2">
        <v>0</v>
      </c>
      <c r="CN38" s="2" t="s">
        <v>3</v>
      </c>
      <c r="CO38" s="2">
        <v>0</v>
      </c>
      <c r="CP38" s="2">
        <f t="shared" si="31"/>
        <v>4187.75</v>
      </c>
      <c r="CQ38" s="2">
        <f t="shared" si="32"/>
        <v>51.17</v>
      </c>
      <c r="CR38" s="2">
        <f t="shared" si="33"/>
        <v>0</v>
      </c>
      <c r="CS38" s="2">
        <f t="shared" si="34"/>
        <v>0</v>
      </c>
      <c r="CT38" s="2">
        <f t="shared" si="35"/>
        <v>0</v>
      </c>
      <c r="CU38" s="2">
        <f t="shared" si="36"/>
        <v>0</v>
      </c>
      <c r="CV38" s="2">
        <f t="shared" si="37"/>
        <v>0</v>
      </c>
      <c r="CW38" s="2">
        <f t="shared" si="38"/>
        <v>0</v>
      </c>
      <c r="CX38" s="2">
        <f t="shared" si="39"/>
        <v>0</v>
      </c>
      <c r="CY38" s="2">
        <f t="shared" si="40"/>
        <v>0</v>
      </c>
      <c r="CZ38" s="2">
        <f t="shared" si="41"/>
        <v>0</v>
      </c>
      <c r="DA38" s="2"/>
      <c r="DB38" s="2"/>
      <c r="DC38" s="2" t="s">
        <v>3</v>
      </c>
      <c r="DD38" s="2" t="s">
        <v>3</v>
      </c>
      <c r="DE38" s="2" t="s">
        <v>3</v>
      </c>
      <c r="DF38" s="2" t="s">
        <v>3</v>
      </c>
      <c r="DG38" s="2" t="s">
        <v>3</v>
      </c>
      <c r="DH38" s="2" t="s">
        <v>3</v>
      </c>
      <c r="DI38" s="2" t="s">
        <v>3</v>
      </c>
      <c r="DJ38" s="2" t="s">
        <v>3</v>
      </c>
      <c r="DK38" s="2" t="s">
        <v>3</v>
      </c>
      <c r="DL38" s="2" t="s">
        <v>3</v>
      </c>
      <c r="DM38" s="2" t="s">
        <v>3</v>
      </c>
      <c r="DN38" s="2">
        <v>0</v>
      </c>
      <c r="DO38" s="2">
        <v>0</v>
      </c>
      <c r="DP38" s="2">
        <v>1</v>
      </c>
      <c r="DQ38" s="2">
        <v>1</v>
      </c>
      <c r="DR38" s="2"/>
      <c r="DS38" s="2"/>
      <c r="DT38" s="2"/>
      <c r="DU38" s="2">
        <v>1007</v>
      </c>
      <c r="DV38" s="2" t="s">
        <v>69</v>
      </c>
      <c r="DW38" s="2" t="s">
        <v>69</v>
      </c>
      <c r="DX38" s="2">
        <v>1</v>
      </c>
      <c r="DY38" s="2"/>
      <c r="DZ38" s="2"/>
      <c r="EA38" s="2"/>
      <c r="EB38" s="2"/>
      <c r="EC38" s="2"/>
      <c r="ED38" s="2"/>
      <c r="EE38" s="2">
        <v>24085400</v>
      </c>
      <c r="EF38" s="2">
        <v>2</v>
      </c>
      <c r="EG38" s="2" t="s">
        <v>33</v>
      </c>
      <c r="EH38" s="2">
        <v>0</v>
      </c>
      <c r="EI38" s="2" t="s">
        <v>3</v>
      </c>
      <c r="EJ38" s="2">
        <v>1</v>
      </c>
      <c r="EK38" s="2">
        <v>27001</v>
      </c>
      <c r="EL38" s="2" t="s">
        <v>64</v>
      </c>
      <c r="EM38" s="2" t="s">
        <v>65</v>
      </c>
      <c r="EN38" s="2"/>
      <c r="EO38" s="2" t="s">
        <v>3</v>
      </c>
      <c r="EP38" s="2"/>
      <c r="EQ38" s="2">
        <v>0</v>
      </c>
      <c r="ER38" s="2">
        <v>51.17</v>
      </c>
      <c r="ES38" s="2">
        <v>51.17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>
        <v>0</v>
      </c>
      <c r="FR38" s="2">
        <f t="shared" si="42"/>
        <v>0</v>
      </c>
      <c r="FS38" s="2">
        <v>0</v>
      </c>
      <c r="FT38" s="2"/>
      <c r="FU38" s="2" t="s">
        <v>21</v>
      </c>
      <c r="FV38" s="2"/>
      <c r="FW38" s="2"/>
      <c r="FX38" s="2">
        <v>142</v>
      </c>
      <c r="FY38" s="2">
        <v>80.75</v>
      </c>
      <c r="FZ38" s="2"/>
      <c r="GA38" s="2" t="s">
        <v>3</v>
      </c>
      <c r="GB38" s="2"/>
      <c r="GC38" s="2"/>
      <c r="GD38" s="2">
        <v>0</v>
      </c>
      <c r="GE38" s="2"/>
      <c r="GF38" s="2">
        <v>-215471597</v>
      </c>
      <c r="GG38" s="2">
        <v>2</v>
      </c>
      <c r="GH38" s="2">
        <v>1</v>
      </c>
      <c r="GI38" s="2">
        <v>-2</v>
      </c>
      <c r="GJ38" s="2">
        <v>0</v>
      </c>
      <c r="GK38" s="2">
        <f>ROUND(R38*(R12)/100,2)</f>
        <v>0</v>
      </c>
      <c r="GL38" s="2">
        <f t="shared" si="43"/>
        <v>0</v>
      </c>
      <c r="GM38" s="2">
        <f t="shared" si="44"/>
        <v>4187.75</v>
      </c>
      <c r="GN38" s="2">
        <f t="shared" si="45"/>
        <v>4187.75</v>
      </c>
      <c r="GO38" s="2">
        <f t="shared" si="46"/>
        <v>0</v>
      </c>
      <c r="GP38" s="2">
        <f t="shared" si="47"/>
        <v>0</v>
      </c>
      <c r="GQ38" s="2"/>
      <c r="GR38" s="2">
        <v>0</v>
      </c>
      <c r="GS38" s="2">
        <v>3</v>
      </c>
      <c r="GT38" s="2">
        <v>0</v>
      </c>
      <c r="GU38" s="2" t="s">
        <v>3</v>
      </c>
      <c r="GV38" s="2">
        <f t="shared" si="48"/>
        <v>0</v>
      </c>
      <c r="GW38" s="2">
        <v>1</v>
      </c>
      <c r="GX38" s="2">
        <f t="shared" si="49"/>
        <v>0</v>
      </c>
      <c r="GY38" s="2"/>
      <c r="GZ38" s="2"/>
      <c r="HA38" s="2">
        <v>0</v>
      </c>
      <c r="HB38" s="2">
        <v>0</v>
      </c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>
        <v>0</v>
      </c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>
      <c r="A39">
        <v>18</v>
      </c>
      <c r="B39">
        <v>1</v>
      </c>
      <c r="C39">
        <v>45</v>
      </c>
      <c r="E39" t="s">
        <v>66</v>
      </c>
      <c r="F39" t="s">
        <v>67</v>
      </c>
      <c r="G39" t="s">
        <v>68</v>
      </c>
      <c r="H39" t="s">
        <v>69</v>
      </c>
      <c r="I39">
        <f>I37*J39</f>
        <v>81.84</v>
      </c>
      <c r="J39">
        <v>110</v>
      </c>
      <c r="O39">
        <f t="shared" si="14"/>
        <v>24707.74</v>
      </c>
      <c r="P39">
        <f t="shared" si="15"/>
        <v>24707.74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34847877</v>
      </c>
      <c r="AB39">
        <f t="shared" si="25"/>
        <v>51.17</v>
      </c>
      <c r="AC39">
        <f t="shared" si="26"/>
        <v>51.17</v>
      </c>
      <c r="AD39">
        <f>ROUND((((ET39)-(EU39))+AE39),6)</f>
        <v>0</v>
      </c>
      <c r="AE39">
        <f>ROUND((EU39),6)</f>
        <v>0</v>
      </c>
      <c r="AF39">
        <f>ROUND((EV39),6)</f>
        <v>0</v>
      </c>
      <c r="AG39">
        <f t="shared" si="28"/>
        <v>0</v>
      </c>
      <c r="AH39">
        <f>(EW39)</f>
        <v>0</v>
      </c>
      <c r="AI39">
        <f>(EX39)</f>
        <v>0</v>
      </c>
      <c r="AJ39">
        <f t="shared" si="30"/>
        <v>0</v>
      </c>
      <c r="AK39">
        <v>51.17</v>
      </c>
      <c r="AL39">
        <v>51.17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121</v>
      </c>
      <c r="AU39">
        <v>65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5.9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70</v>
      </c>
      <c r="BM39">
        <v>27001</v>
      </c>
      <c r="BN39">
        <v>0</v>
      </c>
      <c r="BO39" t="s">
        <v>3</v>
      </c>
      <c r="BP39">
        <v>0</v>
      </c>
      <c r="BQ39">
        <v>2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142</v>
      </c>
      <c r="CA39">
        <v>95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1"/>
        <v>24707.74</v>
      </c>
      <c r="CQ39">
        <f t="shared" si="32"/>
        <v>301.90300000000002</v>
      </c>
      <c r="CR39">
        <f t="shared" si="33"/>
        <v>0</v>
      </c>
      <c r="CS39">
        <f t="shared" si="34"/>
        <v>0</v>
      </c>
      <c r="CT39">
        <f t="shared" si="35"/>
        <v>0</v>
      </c>
      <c r="CU39">
        <f t="shared" si="36"/>
        <v>0</v>
      </c>
      <c r="CV39">
        <f t="shared" si="37"/>
        <v>0</v>
      </c>
      <c r="CW39">
        <f t="shared" si="38"/>
        <v>0</v>
      </c>
      <c r="CX39">
        <f t="shared" si="39"/>
        <v>0</v>
      </c>
      <c r="CY39">
        <f t="shared" si="40"/>
        <v>0</v>
      </c>
      <c r="CZ39">
        <f t="shared" si="41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1007</v>
      </c>
      <c r="DV39" t="s">
        <v>69</v>
      </c>
      <c r="DW39" t="s">
        <v>69</v>
      </c>
      <c r="DX39">
        <v>1</v>
      </c>
      <c r="EE39">
        <v>24085400</v>
      </c>
      <c r="EF39">
        <v>2</v>
      </c>
      <c r="EG39" t="s">
        <v>33</v>
      </c>
      <c r="EH39">
        <v>0</v>
      </c>
      <c r="EI39" t="s">
        <v>3</v>
      </c>
      <c r="EJ39">
        <v>1</v>
      </c>
      <c r="EK39">
        <v>27001</v>
      </c>
      <c r="EL39" t="s">
        <v>64</v>
      </c>
      <c r="EM39" t="s">
        <v>65</v>
      </c>
      <c r="EO39" t="s">
        <v>3</v>
      </c>
      <c r="EQ39">
        <v>0</v>
      </c>
      <c r="ER39">
        <v>51.17</v>
      </c>
      <c r="ES39">
        <v>51.17</v>
      </c>
      <c r="ET39">
        <v>0</v>
      </c>
      <c r="EU39">
        <v>0</v>
      </c>
      <c r="EV39">
        <v>0</v>
      </c>
      <c r="EW39">
        <v>0</v>
      </c>
      <c r="EX39">
        <v>0</v>
      </c>
      <c r="FQ39">
        <v>0</v>
      </c>
      <c r="FR39">
        <f t="shared" si="42"/>
        <v>0</v>
      </c>
      <c r="FS39">
        <v>0</v>
      </c>
      <c r="FU39" t="s">
        <v>21</v>
      </c>
      <c r="FV39" t="s">
        <v>21</v>
      </c>
      <c r="FW39" t="s">
        <v>22</v>
      </c>
      <c r="FX39">
        <v>142</v>
      </c>
      <c r="FY39">
        <v>80.75</v>
      </c>
      <c r="GA39" t="s">
        <v>3</v>
      </c>
      <c r="GD39">
        <v>0</v>
      </c>
      <c r="GF39">
        <v>-215471597</v>
      </c>
      <c r="GG39">
        <v>2</v>
      </c>
      <c r="GH39">
        <v>1</v>
      </c>
      <c r="GI39">
        <v>4</v>
      </c>
      <c r="GJ39">
        <v>0</v>
      </c>
      <c r="GK39">
        <f>ROUND(R39*(S12)/100,2)</f>
        <v>0</v>
      </c>
      <c r="GL39">
        <f t="shared" si="43"/>
        <v>0</v>
      </c>
      <c r="GM39">
        <f t="shared" si="44"/>
        <v>24707.74</v>
      </c>
      <c r="GN39">
        <f t="shared" si="45"/>
        <v>24707.74</v>
      </c>
      <c r="GO39">
        <f t="shared" si="46"/>
        <v>0</v>
      </c>
      <c r="GP39">
        <f t="shared" si="47"/>
        <v>0</v>
      </c>
      <c r="GR39">
        <v>0</v>
      </c>
      <c r="GS39">
        <v>3</v>
      </c>
      <c r="GT39">
        <v>0</v>
      </c>
      <c r="GU39" t="s">
        <v>3</v>
      </c>
      <c r="GV39">
        <f t="shared" si="48"/>
        <v>0</v>
      </c>
      <c r="GW39">
        <v>1</v>
      </c>
      <c r="GX39">
        <f t="shared" si="49"/>
        <v>0</v>
      </c>
      <c r="HA39">
        <v>0</v>
      </c>
      <c r="HB39">
        <v>0</v>
      </c>
      <c r="IK39">
        <v>0</v>
      </c>
    </row>
    <row r="40" spans="1:255">
      <c r="A40" s="2">
        <v>17</v>
      </c>
      <c r="B40" s="2">
        <v>1</v>
      </c>
      <c r="C40" s="2">
        <f>ROW(SmtRes!A55)</f>
        <v>55</v>
      </c>
      <c r="D40" s="2">
        <f>ROW(EtalonRes!A55)</f>
        <v>55</v>
      </c>
      <c r="E40" s="2" t="s">
        <v>71</v>
      </c>
      <c r="F40" s="2" t="s">
        <v>72</v>
      </c>
      <c r="G40" s="2" t="s">
        <v>73</v>
      </c>
      <c r="H40" s="2" t="s">
        <v>60</v>
      </c>
      <c r="I40" s="2">
        <f>ROUND(49.6/100,9)</f>
        <v>0.496</v>
      </c>
      <c r="J40" s="2">
        <v>0</v>
      </c>
      <c r="K40" s="2"/>
      <c r="L40" s="2"/>
      <c r="M40" s="2"/>
      <c r="N40" s="2"/>
      <c r="O40" s="2">
        <f t="shared" si="14"/>
        <v>2167.23</v>
      </c>
      <c r="P40" s="2">
        <f t="shared" si="15"/>
        <v>7.85</v>
      </c>
      <c r="Q40" s="2">
        <f t="shared" si="16"/>
        <v>2068.59</v>
      </c>
      <c r="R40" s="2">
        <f t="shared" si="17"/>
        <v>169.61</v>
      </c>
      <c r="S40" s="2">
        <f t="shared" si="18"/>
        <v>90.79</v>
      </c>
      <c r="T40" s="2">
        <f t="shared" si="19"/>
        <v>0</v>
      </c>
      <c r="U40" s="2">
        <f t="shared" si="20"/>
        <v>13.797976</v>
      </c>
      <c r="V40" s="2">
        <f t="shared" si="21"/>
        <v>12.772</v>
      </c>
      <c r="W40" s="2">
        <f t="shared" si="22"/>
        <v>0</v>
      </c>
      <c r="X40" s="2">
        <f t="shared" si="23"/>
        <v>369.77</v>
      </c>
      <c r="Y40" s="2">
        <f t="shared" si="24"/>
        <v>210.92</v>
      </c>
      <c r="Z40" s="2"/>
      <c r="AA40" s="2">
        <v>34847864</v>
      </c>
      <c r="AB40" s="2">
        <f t="shared" si="25"/>
        <v>4369.4155000000001</v>
      </c>
      <c r="AC40" s="2">
        <f t="shared" si="26"/>
        <v>15.82</v>
      </c>
      <c r="AD40" s="2">
        <f>ROUND(((((ET40*1.25))-((EU40*1.25)))+AE40),6)</f>
        <v>4170.55</v>
      </c>
      <c r="AE40" s="2">
        <f>ROUND(((EU40*1.25)),6)</f>
        <v>341.96249999999998</v>
      </c>
      <c r="AF40" s="2">
        <f>ROUND(((EV40*1.15)),6)</f>
        <v>183.0455</v>
      </c>
      <c r="AG40" s="2">
        <f t="shared" si="28"/>
        <v>0</v>
      </c>
      <c r="AH40" s="2">
        <f>((EW40*1.15))</f>
        <v>27.8185</v>
      </c>
      <c r="AI40" s="2">
        <f>((EX40*1.25))</f>
        <v>25.75</v>
      </c>
      <c r="AJ40" s="2">
        <f t="shared" si="30"/>
        <v>0</v>
      </c>
      <c r="AK40" s="2">
        <v>3511.43</v>
      </c>
      <c r="AL40" s="2">
        <v>15.82</v>
      </c>
      <c r="AM40" s="2">
        <v>3336.44</v>
      </c>
      <c r="AN40" s="2">
        <v>273.57</v>
      </c>
      <c r="AO40" s="2">
        <v>159.16999999999999</v>
      </c>
      <c r="AP40" s="2">
        <v>0</v>
      </c>
      <c r="AQ40" s="2">
        <v>24.19</v>
      </c>
      <c r="AR40" s="2">
        <v>20.6</v>
      </c>
      <c r="AS40" s="2">
        <v>0</v>
      </c>
      <c r="AT40" s="2">
        <v>142</v>
      </c>
      <c r="AU40" s="2">
        <v>81</v>
      </c>
      <c r="AV40" s="2">
        <v>1</v>
      </c>
      <c r="AW40" s="2">
        <v>1</v>
      </c>
      <c r="AX40" s="2"/>
      <c r="AY40" s="2"/>
      <c r="AZ40" s="2">
        <v>1</v>
      </c>
      <c r="BA40" s="2">
        <v>1</v>
      </c>
      <c r="BB40" s="2">
        <v>1</v>
      </c>
      <c r="BC40" s="2">
        <v>1</v>
      </c>
      <c r="BD40" s="2" t="s">
        <v>3</v>
      </c>
      <c r="BE40" s="2" t="s">
        <v>3</v>
      </c>
      <c r="BF40" s="2" t="s">
        <v>3</v>
      </c>
      <c r="BG40" s="2" t="s">
        <v>3</v>
      </c>
      <c r="BH40" s="2">
        <v>0</v>
      </c>
      <c r="BI40" s="2">
        <v>1</v>
      </c>
      <c r="BJ40" s="2" t="s">
        <v>74</v>
      </c>
      <c r="BK40" s="2"/>
      <c r="BL40" s="2"/>
      <c r="BM40" s="2">
        <v>27001</v>
      </c>
      <c r="BN40" s="2">
        <v>0</v>
      </c>
      <c r="BO40" s="2" t="s">
        <v>3</v>
      </c>
      <c r="BP40" s="2">
        <v>0</v>
      </c>
      <c r="BQ40" s="2">
        <v>2</v>
      </c>
      <c r="BR40" s="2">
        <v>0</v>
      </c>
      <c r="BS40" s="2">
        <v>1</v>
      </c>
      <c r="BT40" s="2">
        <v>1</v>
      </c>
      <c r="BU40" s="2">
        <v>1</v>
      </c>
      <c r="BV40" s="2">
        <v>1</v>
      </c>
      <c r="BW40" s="2">
        <v>1</v>
      </c>
      <c r="BX40" s="2">
        <v>1</v>
      </c>
      <c r="BY40" s="2" t="s">
        <v>3</v>
      </c>
      <c r="BZ40" s="2">
        <v>142</v>
      </c>
      <c r="CA40" s="2">
        <v>95</v>
      </c>
      <c r="CB40" s="2"/>
      <c r="CC40" s="2"/>
      <c r="CD40" s="2"/>
      <c r="CE40" s="2"/>
      <c r="CF40" s="2">
        <v>0</v>
      </c>
      <c r="CG40" s="2">
        <v>0</v>
      </c>
      <c r="CH40" s="2"/>
      <c r="CI40" s="2"/>
      <c r="CJ40" s="2"/>
      <c r="CK40" s="2"/>
      <c r="CL40" s="2"/>
      <c r="CM40" s="2">
        <v>0</v>
      </c>
      <c r="CN40" s="2" t="s">
        <v>3</v>
      </c>
      <c r="CO40" s="2">
        <v>0</v>
      </c>
      <c r="CP40" s="2">
        <f t="shared" si="31"/>
        <v>2167.23</v>
      </c>
      <c r="CQ40" s="2">
        <f t="shared" si="32"/>
        <v>15.82</v>
      </c>
      <c r="CR40" s="2">
        <f t="shared" si="33"/>
        <v>4170.55</v>
      </c>
      <c r="CS40" s="2">
        <f t="shared" si="34"/>
        <v>341.96249999999998</v>
      </c>
      <c r="CT40" s="2">
        <f t="shared" si="35"/>
        <v>183.0455</v>
      </c>
      <c r="CU40" s="2">
        <f t="shared" si="36"/>
        <v>0</v>
      </c>
      <c r="CV40" s="2">
        <f t="shared" si="37"/>
        <v>27.8185</v>
      </c>
      <c r="CW40" s="2">
        <f t="shared" si="38"/>
        <v>25.75</v>
      </c>
      <c r="CX40" s="2">
        <f t="shared" si="39"/>
        <v>0</v>
      </c>
      <c r="CY40" s="2">
        <f t="shared" si="40"/>
        <v>369.76800000000003</v>
      </c>
      <c r="CZ40" s="2">
        <f t="shared" si="41"/>
        <v>210.92400000000001</v>
      </c>
      <c r="DA40" s="2"/>
      <c r="DB40" s="2"/>
      <c r="DC40" s="2" t="s">
        <v>3</v>
      </c>
      <c r="DD40" s="2" t="s">
        <v>3</v>
      </c>
      <c r="DE40" s="2" t="s">
        <v>62</v>
      </c>
      <c r="DF40" s="2" t="s">
        <v>62</v>
      </c>
      <c r="DG40" s="2" t="s">
        <v>63</v>
      </c>
      <c r="DH40" s="2" t="s">
        <v>3</v>
      </c>
      <c r="DI40" s="2" t="s">
        <v>63</v>
      </c>
      <c r="DJ40" s="2" t="s">
        <v>62</v>
      </c>
      <c r="DK40" s="2" t="s">
        <v>3</v>
      </c>
      <c r="DL40" s="2" t="s">
        <v>3</v>
      </c>
      <c r="DM40" s="2" t="s">
        <v>3</v>
      </c>
      <c r="DN40" s="2">
        <v>0</v>
      </c>
      <c r="DO40" s="2">
        <v>0</v>
      </c>
      <c r="DP40" s="2">
        <v>1</v>
      </c>
      <c r="DQ40" s="2">
        <v>1</v>
      </c>
      <c r="DR40" s="2"/>
      <c r="DS40" s="2"/>
      <c r="DT40" s="2"/>
      <c r="DU40" s="2">
        <v>1013</v>
      </c>
      <c r="DV40" s="2" t="s">
        <v>60</v>
      </c>
      <c r="DW40" s="2" t="s">
        <v>60</v>
      </c>
      <c r="DX40" s="2">
        <v>1</v>
      </c>
      <c r="DY40" s="2"/>
      <c r="DZ40" s="2"/>
      <c r="EA40" s="2"/>
      <c r="EB40" s="2"/>
      <c r="EC40" s="2"/>
      <c r="ED40" s="2"/>
      <c r="EE40" s="2">
        <v>24085400</v>
      </c>
      <c r="EF40" s="2">
        <v>2</v>
      </c>
      <c r="EG40" s="2" t="s">
        <v>33</v>
      </c>
      <c r="EH40" s="2">
        <v>0</v>
      </c>
      <c r="EI40" s="2" t="s">
        <v>3</v>
      </c>
      <c r="EJ40" s="2">
        <v>1</v>
      </c>
      <c r="EK40" s="2">
        <v>27001</v>
      </c>
      <c r="EL40" s="2" t="s">
        <v>64</v>
      </c>
      <c r="EM40" s="2" t="s">
        <v>65</v>
      </c>
      <c r="EN40" s="2"/>
      <c r="EO40" s="2" t="s">
        <v>3</v>
      </c>
      <c r="EP40" s="2"/>
      <c r="EQ40" s="2">
        <v>0</v>
      </c>
      <c r="ER40" s="2">
        <v>3511.43</v>
      </c>
      <c r="ES40" s="2">
        <v>15.82</v>
      </c>
      <c r="ET40" s="2">
        <v>3336.44</v>
      </c>
      <c r="EU40" s="2">
        <v>273.57</v>
      </c>
      <c r="EV40" s="2">
        <v>159.16999999999999</v>
      </c>
      <c r="EW40" s="2">
        <v>24.19</v>
      </c>
      <c r="EX40" s="2">
        <v>20.6</v>
      </c>
      <c r="EY40" s="2">
        <v>0</v>
      </c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>
        <v>0</v>
      </c>
      <c r="FR40" s="2">
        <f t="shared" si="42"/>
        <v>0</v>
      </c>
      <c r="FS40" s="2">
        <v>0</v>
      </c>
      <c r="FT40" s="2"/>
      <c r="FU40" s="2" t="s">
        <v>21</v>
      </c>
      <c r="FV40" s="2"/>
      <c r="FW40" s="2"/>
      <c r="FX40" s="2">
        <v>142</v>
      </c>
      <c r="FY40" s="2">
        <v>80.75</v>
      </c>
      <c r="FZ40" s="2"/>
      <c r="GA40" s="2" t="s">
        <v>3</v>
      </c>
      <c r="GB40" s="2"/>
      <c r="GC40" s="2"/>
      <c r="GD40" s="2">
        <v>0</v>
      </c>
      <c r="GE40" s="2"/>
      <c r="GF40" s="2">
        <v>-2049045877</v>
      </c>
      <c r="GG40" s="2">
        <v>2</v>
      </c>
      <c r="GH40" s="2">
        <v>1</v>
      </c>
      <c r="GI40" s="2">
        <v>-2</v>
      </c>
      <c r="GJ40" s="2">
        <v>0</v>
      </c>
      <c r="GK40" s="2">
        <f>ROUND(R40*(R12)/100,2)</f>
        <v>0</v>
      </c>
      <c r="GL40" s="2">
        <f t="shared" si="43"/>
        <v>0</v>
      </c>
      <c r="GM40" s="2">
        <f t="shared" si="44"/>
        <v>2747.92</v>
      </c>
      <c r="GN40" s="2">
        <f t="shared" si="45"/>
        <v>2747.92</v>
      </c>
      <c r="GO40" s="2">
        <f t="shared" si="46"/>
        <v>0</v>
      </c>
      <c r="GP40" s="2">
        <f t="shared" si="47"/>
        <v>0</v>
      </c>
      <c r="GQ40" s="2"/>
      <c r="GR40" s="2">
        <v>0</v>
      </c>
      <c r="GS40" s="2">
        <v>3</v>
      </c>
      <c r="GT40" s="2">
        <v>0</v>
      </c>
      <c r="GU40" s="2" t="s">
        <v>3</v>
      </c>
      <c r="GV40" s="2">
        <f t="shared" si="48"/>
        <v>0</v>
      </c>
      <c r="GW40" s="2">
        <v>1</v>
      </c>
      <c r="GX40" s="2">
        <f t="shared" si="49"/>
        <v>0</v>
      </c>
      <c r="GY40" s="2"/>
      <c r="GZ40" s="2"/>
      <c r="HA40" s="2">
        <v>0</v>
      </c>
      <c r="HB40" s="2">
        <v>0</v>
      </c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>
        <v>0</v>
      </c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>
      <c r="A41">
        <v>17</v>
      </c>
      <c r="B41">
        <v>1</v>
      </c>
      <c r="C41">
        <f>ROW(SmtRes!A64)</f>
        <v>64</v>
      </c>
      <c r="D41">
        <f>ROW(EtalonRes!A64)</f>
        <v>64</v>
      </c>
      <c r="E41" t="s">
        <v>71</v>
      </c>
      <c r="F41" t="s">
        <v>72</v>
      </c>
      <c r="G41" t="s">
        <v>73</v>
      </c>
      <c r="H41" t="s">
        <v>60</v>
      </c>
      <c r="I41">
        <f>ROUND(49.6/100,9)</f>
        <v>0.496</v>
      </c>
      <c r="J41">
        <v>0</v>
      </c>
      <c r="O41">
        <f t="shared" si="14"/>
        <v>14384.86</v>
      </c>
      <c r="P41">
        <f t="shared" si="15"/>
        <v>46.3</v>
      </c>
      <c r="Q41">
        <f t="shared" si="16"/>
        <v>12845.96</v>
      </c>
      <c r="R41">
        <f t="shared" si="17"/>
        <v>2788.44</v>
      </c>
      <c r="S41">
        <f t="shared" si="18"/>
        <v>1492.6</v>
      </c>
      <c r="T41">
        <f t="shared" si="19"/>
        <v>0</v>
      </c>
      <c r="U41">
        <f t="shared" si="20"/>
        <v>13.797976</v>
      </c>
      <c r="V41">
        <f t="shared" si="21"/>
        <v>12.772</v>
      </c>
      <c r="W41">
        <f t="shared" si="22"/>
        <v>0</v>
      </c>
      <c r="X41">
        <f t="shared" si="23"/>
        <v>5180.0600000000004</v>
      </c>
      <c r="Y41">
        <f t="shared" si="24"/>
        <v>2782.68</v>
      </c>
      <c r="AA41">
        <v>34847877</v>
      </c>
      <c r="AB41">
        <f t="shared" si="25"/>
        <v>4369.4155000000001</v>
      </c>
      <c r="AC41">
        <f t="shared" si="26"/>
        <v>15.82</v>
      </c>
      <c r="AD41">
        <f>ROUND(((((ET41*1.25))-((EU41*1.25)))+AE41),6)</f>
        <v>4170.55</v>
      </c>
      <c r="AE41">
        <f>ROUND(((EU41*1.25)),6)</f>
        <v>341.96249999999998</v>
      </c>
      <c r="AF41">
        <f>ROUND(((EV41*1.15)),6)</f>
        <v>183.0455</v>
      </c>
      <c r="AG41">
        <f t="shared" si="28"/>
        <v>0</v>
      </c>
      <c r="AH41">
        <f>((EW41*1.15))</f>
        <v>27.8185</v>
      </c>
      <c r="AI41">
        <f>((EX41*1.25))</f>
        <v>25.75</v>
      </c>
      <c r="AJ41">
        <f t="shared" si="30"/>
        <v>0</v>
      </c>
      <c r="AK41">
        <v>3511.43</v>
      </c>
      <c r="AL41">
        <v>15.82</v>
      </c>
      <c r="AM41">
        <v>3336.44</v>
      </c>
      <c r="AN41">
        <v>273.57</v>
      </c>
      <c r="AO41">
        <v>159.16999999999999</v>
      </c>
      <c r="AP41">
        <v>0</v>
      </c>
      <c r="AQ41">
        <v>24.19</v>
      </c>
      <c r="AR41">
        <v>20.6</v>
      </c>
      <c r="AS41">
        <v>0</v>
      </c>
      <c r="AT41">
        <v>121</v>
      </c>
      <c r="AU41">
        <v>65</v>
      </c>
      <c r="AV41">
        <v>1</v>
      </c>
      <c r="AW41">
        <v>1</v>
      </c>
      <c r="AZ41">
        <v>1</v>
      </c>
      <c r="BA41">
        <v>16.440000000000001</v>
      </c>
      <c r="BB41">
        <v>6.21</v>
      </c>
      <c r="BC41">
        <v>5.9</v>
      </c>
      <c r="BD41" t="s">
        <v>3</v>
      </c>
      <c r="BE41" t="s">
        <v>3</v>
      </c>
      <c r="BF41" t="s">
        <v>3</v>
      </c>
      <c r="BG41" t="s">
        <v>3</v>
      </c>
      <c r="BH41">
        <v>0</v>
      </c>
      <c r="BI41">
        <v>1</v>
      </c>
      <c r="BJ41" t="s">
        <v>74</v>
      </c>
      <c r="BM41">
        <v>27001</v>
      </c>
      <c r="BN41">
        <v>0</v>
      </c>
      <c r="BO41" t="s">
        <v>3</v>
      </c>
      <c r="BP41">
        <v>0</v>
      </c>
      <c r="BQ41">
        <v>2</v>
      </c>
      <c r="BR41">
        <v>0</v>
      </c>
      <c r="BS41">
        <v>16.440000000000001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142</v>
      </c>
      <c r="CA41">
        <v>95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1"/>
        <v>14384.859999999999</v>
      </c>
      <c r="CQ41">
        <f t="shared" si="32"/>
        <v>93.338000000000008</v>
      </c>
      <c r="CR41">
        <f t="shared" si="33"/>
        <v>25899.1155</v>
      </c>
      <c r="CS41">
        <f t="shared" si="34"/>
        <v>5621.8635000000004</v>
      </c>
      <c r="CT41">
        <f t="shared" si="35"/>
        <v>3009.2680200000004</v>
      </c>
      <c r="CU41">
        <f t="shared" si="36"/>
        <v>0</v>
      </c>
      <c r="CV41">
        <f t="shared" si="37"/>
        <v>27.8185</v>
      </c>
      <c r="CW41">
        <f t="shared" si="38"/>
        <v>25.75</v>
      </c>
      <c r="CX41">
        <f t="shared" si="39"/>
        <v>0</v>
      </c>
      <c r="CY41">
        <f t="shared" si="40"/>
        <v>5180.0583999999999</v>
      </c>
      <c r="CZ41">
        <f t="shared" si="41"/>
        <v>2782.6759999999999</v>
      </c>
      <c r="DC41" t="s">
        <v>3</v>
      </c>
      <c r="DD41" t="s">
        <v>3</v>
      </c>
      <c r="DE41" t="s">
        <v>62</v>
      </c>
      <c r="DF41" t="s">
        <v>62</v>
      </c>
      <c r="DG41" t="s">
        <v>63</v>
      </c>
      <c r="DH41" t="s">
        <v>3</v>
      </c>
      <c r="DI41" t="s">
        <v>63</v>
      </c>
      <c r="DJ41" t="s">
        <v>62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60</v>
      </c>
      <c r="DW41" t="s">
        <v>60</v>
      </c>
      <c r="DX41">
        <v>1</v>
      </c>
      <c r="EE41">
        <v>24085400</v>
      </c>
      <c r="EF41">
        <v>2</v>
      </c>
      <c r="EG41" t="s">
        <v>33</v>
      </c>
      <c r="EH41">
        <v>0</v>
      </c>
      <c r="EI41" t="s">
        <v>3</v>
      </c>
      <c r="EJ41">
        <v>1</v>
      </c>
      <c r="EK41">
        <v>27001</v>
      </c>
      <c r="EL41" t="s">
        <v>64</v>
      </c>
      <c r="EM41" t="s">
        <v>65</v>
      </c>
      <c r="EO41" t="s">
        <v>3</v>
      </c>
      <c r="EQ41">
        <v>0</v>
      </c>
      <c r="ER41">
        <v>3511.43</v>
      </c>
      <c r="ES41">
        <v>15.82</v>
      </c>
      <c r="ET41">
        <v>3336.44</v>
      </c>
      <c r="EU41">
        <v>273.57</v>
      </c>
      <c r="EV41">
        <v>159.16999999999999</v>
      </c>
      <c r="EW41">
        <v>24.19</v>
      </c>
      <c r="EX41">
        <v>20.6</v>
      </c>
      <c r="EY41">
        <v>0</v>
      </c>
      <c r="FQ41">
        <v>0</v>
      </c>
      <c r="FR41">
        <f t="shared" si="42"/>
        <v>0</v>
      </c>
      <c r="FS41">
        <v>0</v>
      </c>
      <c r="FU41" t="s">
        <v>21</v>
      </c>
      <c r="FV41" t="s">
        <v>21</v>
      </c>
      <c r="FW41" t="s">
        <v>22</v>
      </c>
      <c r="FX41">
        <v>142</v>
      </c>
      <c r="FY41">
        <v>80.75</v>
      </c>
      <c r="GA41" t="s">
        <v>3</v>
      </c>
      <c r="GD41">
        <v>0</v>
      </c>
      <c r="GF41">
        <v>-2049045877</v>
      </c>
      <c r="GG41">
        <v>2</v>
      </c>
      <c r="GH41">
        <v>1</v>
      </c>
      <c r="GI41">
        <v>4</v>
      </c>
      <c r="GJ41">
        <v>0</v>
      </c>
      <c r="GK41">
        <f>ROUND(R41*(S12)/100,2)</f>
        <v>0</v>
      </c>
      <c r="GL41">
        <f t="shared" si="43"/>
        <v>0</v>
      </c>
      <c r="GM41">
        <f t="shared" si="44"/>
        <v>22347.599999999999</v>
      </c>
      <c r="GN41">
        <f t="shared" si="45"/>
        <v>22347.599999999999</v>
      </c>
      <c r="GO41">
        <f t="shared" si="46"/>
        <v>0</v>
      </c>
      <c r="GP41">
        <f t="shared" si="47"/>
        <v>0</v>
      </c>
      <c r="GR41">
        <v>0</v>
      </c>
      <c r="GS41">
        <v>3</v>
      </c>
      <c r="GT41">
        <v>0</v>
      </c>
      <c r="GU41" t="s">
        <v>3</v>
      </c>
      <c r="GV41">
        <f t="shared" si="48"/>
        <v>0</v>
      </c>
      <c r="GW41">
        <v>1</v>
      </c>
      <c r="GX41">
        <f t="shared" si="49"/>
        <v>0</v>
      </c>
      <c r="HA41">
        <v>0</v>
      </c>
      <c r="HB41">
        <v>0</v>
      </c>
      <c r="IK41">
        <v>0</v>
      </c>
    </row>
    <row r="42" spans="1:255">
      <c r="A42" s="2">
        <v>18</v>
      </c>
      <c r="B42" s="2">
        <v>1</v>
      </c>
      <c r="C42" s="2">
        <v>54</v>
      </c>
      <c r="D42" s="2"/>
      <c r="E42" s="2" t="s">
        <v>75</v>
      </c>
      <c r="F42" s="2" t="s">
        <v>76</v>
      </c>
      <c r="G42" s="2" t="s">
        <v>77</v>
      </c>
      <c r="H42" s="2" t="s">
        <v>69</v>
      </c>
      <c r="I42" s="2">
        <f>I40*J42</f>
        <v>62.496000000000002</v>
      </c>
      <c r="J42" s="2">
        <v>126</v>
      </c>
      <c r="K42" s="2"/>
      <c r="L42" s="2"/>
      <c r="M42" s="2"/>
      <c r="N42" s="2"/>
      <c r="O42" s="2">
        <f t="shared" si="14"/>
        <v>9526.89</v>
      </c>
      <c r="P42" s="2">
        <f t="shared" si="15"/>
        <v>9526.89</v>
      </c>
      <c r="Q42" s="2">
        <f t="shared" si="16"/>
        <v>0</v>
      </c>
      <c r="R42" s="2">
        <f t="shared" si="17"/>
        <v>0</v>
      </c>
      <c r="S42" s="2">
        <f t="shared" si="18"/>
        <v>0</v>
      </c>
      <c r="T42" s="2">
        <f t="shared" si="19"/>
        <v>0</v>
      </c>
      <c r="U42" s="2">
        <f t="shared" si="20"/>
        <v>0</v>
      </c>
      <c r="V42" s="2">
        <f t="shared" si="21"/>
        <v>0</v>
      </c>
      <c r="W42" s="2">
        <f t="shared" si="22"/>
        <v>0</v>
      </c>
      <c r="X42" s="2">
        <f t="shared" si="23"/>
        <v>0</v>
      </c>
      <c r="Y42" s="2">
        <f t="shared" si="24"/>
        <v>0</v>
      </c>
      <c r="Z42" s="2"/>
      <c r="AA42" s="2">
        <v>34847864</v>
      </c>
      <c r="AB42" s="2">
        <f t="shared" si="25"/>
        <v>152.44</v>
      </c>
      <c r="AC42" s="2">
        <f t="shared" si="26"/>
        <v>152.44</v>
      </c>
      <c r="AD42" s="2">
        <f>ROUND((((ET42)-(EU42))+AE42),6)</f>
        <v>0</v>
      </c>
      <c r="AE42" s="2">
        <f>ROUND((EU42),6)</f>
        <v>0</v>
      </c>
      <c r="AF42" s="2">
        <f>ROUND((EV42),6)</f>
        <v>0</v>
      </c>
      <c r="AG42" s="2">
        <f t="shared" si="28"/>
        <v>0</v>
      </c>
      <c r="AH42" s="2">
        <f>(EW42)</f>
        <v>0</v>
      </c>
      <c r="AI42" s="2">
        <f>(EX42)</f>
        <v>0</v>
      </c>
      <c r="AJ42" s="2">
        <f t="shared" si="30"/>
        <v>0</v>
      </c>
      <c r="AK42" s="2">
        <v>152.44</v>
      </c>
      <c r="AL42" s="2">
        <v>152.44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142</v>
      </c>
      <c r="AU42" s="2">
        <v>81</v>
      </c>
      <c r="AV42" s="2">
        <v>1</v>
      </c>
      <c r="AW42" s="2">
        <v>1</v>
      </c>
      <c r="AX42" s="2"/>
      <c r="AY42" s="2"/>
      <c r="AZ42" s="2">
        <v>1</v>
      </c>
      <c r="BA42" s="2">
        <v>1</v>
      </c>
      <c r="BB42" s="2">
        <v>1</v>
      </c>
      <c r="BC42" s="2">
        <v>1</v>
      </c>
      <c r="BD42" s="2" t="s">
        <v>3</v>
      </c>
      <c r="BE42" s="2" t="s">
        <v>3</v>
      </c>
      <c r="BF42" s="2" t="s">
        <v>3</v>
      </c>
      <c r="BG42" s="2" t="s">
        <v>3</v>
      </c>
      <c r="BH42" s="2">
        <v>3</v>
      </c>
      <c r="BI42" s="2">
        <v>1</v>
      </c>
      <c r="BJ42" s="2" t="s">
        <v>78</v>
      </c>
      <c r="BK42" s="2"/>
      <c r="BL42" s="2"/>
      <c r="BM42" s="2">
        <v>27001</v>
      </c>
      <c r="BN42" s="2">
        <v>0</v>
      </c>
      <c r="BO42" s="2" t="s">
        <v>3</v>
      </c>
      <c r="BP42" s="2">
        <v>0</v>
      </c>
      <c r="BQ42" s="2">
        <v>2</v>
      </c>
      <c r="BR42" s="2">
        <v>0</v>
      </c>
      <c r="BS42" s="2">
        <v>1</v>
      </c>
      <c r="BT42" s="2">
        <v>1</v>
      </c>
      <c r="BU42" s="2">
        <v>1</v>
      </c>
      <c r="BV42" s="2">
        <v>1</v>
      </c>
      <c r="BW42" s="2">
        <v>1</v>
      </c>
      <c r="BX42" s="2">
        <v>1</v>
      </c>
      <c r="BY42" s="2" t="s">
        <v>3</v>
      </c>
      <c r="BZ42" s="2">
        <v>142</v>
      </c>
      <c r="CA42" s="2">
        <v>95</v>
      </c>
      <c r="CB42" s="2"/>
      <c r="CC42" s="2"/>
      <c r="CD42" s="2"/>
      <c r="CE42" s="2"/>
      <c r="CF42" s="2">
        <v>0</v>
      </c>
      <c r="CG42" s="2">
        <v>0</v>
      </c>
      <c r="CH42" s="2"/>
      <c r="CI42" s="2"/>
      <c r="CJ42" s="2"/>
      <c r="CK42" s="2"/>
      <c r="CL42" s="2"/>
      <c r="CM42" s="2">
        <v>0</v>
      </c>
      <c r="CN42" s="2" t="s">
        <v>3</v>
      </c>
      <c r="CO42" s="2">
        <v>0</v>
      </c>
      <c r="CP42" s="2">
        <f t="shared" si="31"/>
        <v>9526.89</v>
      </c>
      <c r="CQ42" s="2">
        <f t="shared" si="32"/>
        <v>152.44</v>
      </c>
      <c r="CR42" s="2">
        <f t="shared" si="33"/>
        <v>0</v>
      </c>
      <c r="CS42" s="2">
        <f t="shared" si="34"/>
        <v>0</v>
      </c>
      <c r="CT42" s="2">
        <f t="shared" si="35"/>
        <v>0</v>
      </c>
      <c r="CU42" s="2">
        <f t="shared" si="36"/>
        <v>0</v>
      </c>
      <c r="CV42" s="2">
        <f t="shared" si="37"/>
        <v>0</v>
      </c>
      <c r="CW42" s="2">
        <f t="shared" si="38"/>
        <v>0</v>
      </c>
      <c r="CX42" s="2">
        <f t="shared" si="39"/>
        <v>0</v>
      </c>
      <c r="CY42" s="2">
        <f t="shared" si="40"/>
        <v>0</v>
      </c>
      <c r="CZ42" s="2">
        <f t="shared" si="41"/>
        <v>0</v>
      </c>
      <c r="DA42" s="2"/>
      <c r="DB42" s="2"/>
      <c r="DC42" s="2" t="s">
        <v>3</v>
      </c>
      <c r="DD42" s="2" t="s">
        <v>3</v>
      </c>
      <c r="DE42" s="2" t="s">
        <v>3</v>
      </c>
      <c r="DF42" s="2" t="s">
        <v>3</v>
      </c>
      <c r="DG42" s="2" t="s">
        <v>3</v>
      </c>
      <c r="DH42" s="2" t="s">
        <v>3</v>
      </c>
      <c r="DI42" s="2" t="s">
        <v>3</v>
      </c>
      <c r="DJ42" s="2" t="s">
        <v>3</v>
      </c>
      <c r="DK42" s="2" t="s">
        <v>3</v>
      </c>
      <c r="DL42" s="2" t="s">
        <v>3</v>
      </c>
      <c r="DM42" s="2" t="s">
        <v>3</v>
      </c>
      <c r="DN42" s="2">
        <v>0</v>
      </c>
      <c r="DO42" s="2">
        <v>0</v>
      </c>
      <c r="DP42" s="2">
        <v>1</v>
      </c>
      <c r="DQ42" s="2">
        <v>1</v>
      </c>
      <c r="DR42" s="2"/>
      <c r="DS42" s="2"/>
      <c r="DT42" s="2"/>
      <c r="DU42" s="2">
        <v>1007</v>
      </c>
      <c r="DV42" s="2" t="s">
        <v>69</v>
      </c>
      <c r="DW42" s="2" t="s">
        <v>69</v>
      </c>
      <c r="DX42" s="2">
        <v>1</v>
      </c>
      <c r="DY42" s="2"/>
      <c r="DZ42" s="2"/>
      <c r="EA42" s="2"/>
      <c r="EB42" s="2"/>
      <c r="EC42" s="2"/>
      <c r="ED42" s="2"/>
      <c r="EE42" s="2">
        <v>24085400</v>
      </c>
      <c r="EF42" s="2">
        <v>2</v>
      </c>
      <c r="EG42" s="2" t="s">
        <v>33</v>
      </c>
      <c r="EH42" s="2">
        <v>0</v>
      </c>
      <c r="EI42" s="2" t="s">
        <v>3</v>
      </c>
      <c r="EJ42" s="2">
        <v>1</v>
      </c>
      <c r="EK42" s="2">
        <v>27001</v>
      </c>
      <c r="EL42" s="2" t="s">
        <v>64</v>
      </c>
      <c r="EM42" s="2" t="s">
        <v>65</v>
      </c>
      <c r="EN42" s="2"/>
      <c r="EO42" s="2" t="s">
        <v>3</v>
      </c>
      <c r="EP42" s="2"/>
      <c r="EQ42" s="2">
        <v>0</v>
      </c>
      <c r="ER42" s="2">
        <v>152.44</v>
      </c>
      <c r="ES42" s="2">
        <v>152.44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>
        <v>0</v>
      </c>
      <c r="FR42" s="2">
        <f t="shared" si="42"/>
        <v>0</v>
      </c>
      <c r="FS42" s="2">
        <v>0</v>
      </c>
      <c r="FT42" s="2"/>
      <c r="FU42" s="2" t="s">
        <v>21</v>
      </c>
      <c r="FV42" s="2"/>
      <c r="FW42" s="2"/>
      <c r="FX42" s="2">
        <v>142</v>
      </c>
      <c r="FY42" s="2">
        <v>80.75</v>
      </c>
      <c r="FZ42" s="2"/>
      <c r="GA42" s="2" t="s">
        <v>3</v>
      </c>
      <c r="GB42" s="2"/>
      <c r="GC42" s="2"/>
      <c r="GD42" s="2">
        <v>0</v>
      </c>
      <c r="GE42" s="2"/>
      <c r="GF42" s="2">
        <v>-1759077042</v>
      </c>
      <c r="GG42" s="2">
        <v>2</v>
      </c>
      <c r="GH42" s="2">
        <v>1</v>
      </c>
      <c r="GI42" s="2">
        <v>-2</v>
      </c>
      <c r="GJ42" s="2">
        <v>0</v>
      </c>
      <c r="GK42" s="2">
        <f>ROUND(R42*(R12)/100,2)</f>
        <v>0</v>
      </c>
      <c r="GL42" s="2">
        <f t="shared" si="43"/>
        <v>0</v>
      </c>
      <c r="GM42" s="2">
        <f t="shared" si="44"/>
        <v>9526.89</v>
      </c>
      <c r="GN42" s="2">
        <f t="shared" si="45"/>
        <v>9526.89</v>
      </c>
      <c r="GO42" s="2">
        <f t="shared" si="46"/>
        <v>0</v>
      </c>
      <c r="GP42" s="2">
        <f t="shared" si="47"/>
        <v>0</v>
      </c>
      <c r="GQ42" s="2"/>
      <c r="GR42" s="2">
        <v>0</v>
      </c>
      <c r="GS42" s="2">
        <v>3</v>
      </c>
      <c r="GT42" s="2">
        <v>0</v>
      </c>
      <c r="GU42" s="2" t="s">
        <v>3</v>
      </c>
      <c r="GV42" s="2">
        <f t="shared" si="48"/>
        <v>0</v>
      </c>
      <c r="GW42" s="2">
        <v>1</v>
      </c>
      <c r="GX42" s="2">
        <f t="shared" si="49"/>
        <v>0</v>
      </c>
      <c r="GY42" s="2"/>
      <c r="GZ42" s="2"/>
      <c r="HA42" s="2">
        <v>0</v>
      </c>
      <c r="HB42" s="2">
        <v>0</v>
      </c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>
        <v>0</v>
      </c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>
      <c r="A43">
        <v>18</v>
      </c>
      <c r="B43">
        <v>1</v>
      </c>
      <c r="C43">
        <v>63</v>
      </c>
      <c r="E43" t="s">
        <v>75</v>
      </c>
      <c r="F43" t="s">
        <v>76</v>
      </c>
      <c r="G43" t="s">
        <v>77</v>
      </c>
      <c r="H43" t="s">
        <v>69</v>
      </c>
      <c r="I43">
        <f>I41*J43</f>
        <v>62.496000000000002</v>
      </c>
      <c r="J43">
        <v>126</v>
      </c>
      <c r="O43">
        <f t="shared" si="14"/>
        <v>56208.65</v>
      </c>
      <c r="P43">
        <f t="shared" si="15"/>
        <v>56208.65</v>
      </c>
      <c r="Q43">
        <f t="shared" si="16"/>
        <v>0</v>
      </c>
      <c r="R43">
        <f t="shared" si="17"/>
        <v>0</v>
      </c>
      <c r="S43">
        <f t="shared" si="18"/>
        <v>0</v>
      </c>
      <c r="T43">
        <f t="shared" si="19"/>
        <v>0</v>
      </c>
      <c r="U43">
        <f t="shared" si="20"/>
        <v>0</v>
      </c>
      <c r="V43">
        <f t="shared" si="21"/>
        <v>0</v>
      </c>
      <c r="W43">
        <f t="shared" si="22"/>
        <v>0</v>
      </c>
      <c r="X43">
        <f t="shared" si="23"/>
        <v>0</v>
      </c>
      <c r="Y43">
        <f t="shared" si="24"/>
        <v>0</v>
      </c>
      <c r="AA43">
        <v>34847877</v>
      </c>
      <c r="AB43">
        <f t="shared" si="25"/>
        <v>152.44</v>
      </c>
      <c r="AC43">
        <f t="shared" si="26"/>
        <v>152.44</v>
      </c>
      <c r="AD43">
        <f>ROUND((((ET43)-(EU43))+AE43),6)</f>
        <v>0</v>
      </c>
      <c r="AE43">
        <f>ROUND((EU43),6)</f>
        <v>0</v>
      </c>
      <c r="AF43">
        <f>ROUND((EV43),6)</f>
        <v>0</v>
      </c>
      <c r="AG43">
        <f t="shared" si="28"/>
        <v>0</v>
      </c>
      <c r="AH43">
        <f>(EW43)</f>
        <v>0</v>
      </c>
      <c r="AI43">
        <f>(EX43)</f>
        <v>0</v>
      </c>
      <c r="AJ43">
        <f t="shared" si="30"/>
        <v>0</v>
      </c>
      <c r="AK43">
        <v>152.44</v>
      </c>
      <c r="AL43">
        <v>152.44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121</v>
      </c>
      <c r="AU43">
        <v>65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5.9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1</v>
      </c>
      <c r="BJ43" t="s">
        <v>78</v>
      </c>
      <c r="BM43">
        <v>27001</v>
      </c>
      <c r="BN43">
        <v>0</v>
      </c>
      <c r="BO43" t="s">
        <v>3</v>
      </c>
      <c r="BP43">
        <v>0</v>
      </c>
      <c r="BQ43">
        <v>2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142</v>
      </c>
      <c r="CA43">
        <v>95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1"/>
        <v>56208.65</v>
      </c>
      <c r="CQ43">
        <f t="shared" si="32"/>
        <v>899.39600000000007</v>
      </c>
      <c r="CR43">
        <f t="shared" si="33"/>
        <v>0</v>
      </c>
      <c r="CS43">
        <f t="shared" si="34"/>
        <v>0</v>
      </c>
      <c r="CT43">
        <f t="shared" si="35"/>
        <v>0</v>
      </c>
      <c r="CU43">
        <f t="shared" si="36"/>
        <v>0</v>
      </c>
      <c r="CV43">
        <f t="shared" si="37"/>
        <v>0</v>
      </c>
      <c r="CW43">
        <f t="shared" si="38"/>
        <v>0</v>
      </c>
      <c r="CX43">
        <f t="shared" si="39"/>
        <v>0</v>
      </c>
      <c r="CY43">
        <f t="shared" si="40"/>
        <v>0</v>
      </c>
      <c r="CZ43">
        <f t="shared" si="41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1007</v>
      </c>
      <c r="DV43" t="s">
        <v>69</v>
      </c>
      <c r="DW43" t="s">
        <v>69</v>
      </c>
      <c r="DX43">
        <v>1</v>
      </c>
      <c r="EE43">
        <v>24085400</v>
      </c>
      <c r="EF43">
        <v>2</v>
      </c>
      <c r="EG43" t="s">
        <v>33</v>
      </c>
      <c r="EH43">
        <v>0</v>
      </c>
      <c r="EI43" t="s">
        <v>3</v>
      </c>
      <c r="EJ43">
        <v>1</v>
      </c>
      <c r="EK43">
        <v>27001</v>
      </c>
      <c r="EL43" t="s">
        <v>64</v>
      </c>
      <c r="EM43" t="s">
        <v>65</v>
      </c>
      <c r="EO43" t="s">
        <v>3</v>
      </c>
      <c r="EQ43">
        <v>0</v>
      </c>
      <c r="ER43">
        <v>152.44</v>
      </c>
      <c r="ES43">
        <v>152.44</v>
      </c>
      <c r="ET43">
        <v>0</v>
      </c>
      <c r="EU43">
        <v>0</v>
      </c>
      <c r="EV43">
        <v>0</v>
      </c>
      <c r="EW43">
        <v>0</v>
      </c>
      <c r="EX43">
        <v>0</v>
      </c>
      <c r="FQ43">
        <v>0</v>
      </c>
      <c r="FR43">
        <f t="shared" si="42"/>
        <v>0</v>
      </c>
      <c r="FS43">
        <v>0</v>
      </c>
      <c r="FU43" t="s">
        <v>21</v>
      </c>
      <c r="FV43" t="s">
        <v>21</v>
      </c>
      <c r="FW43" t="s">
        <v>22</v>
      </c>
      <c r="FX43">
        <v>142</v>
      </c>
      <c r="FY43">
        <v>80.75</v>
      </c>
      <c r="GA43" t="s">
        <v>3</v>
      </c>
      <c r="GD43">
        <v>0</v>
      </c>
      <c r="GF43">
        <v>-1759077042</v>
      </c>
      <c r="GG43">
        <v>2</v>
      </c>
      <c r="GH43">
        <v>1</v>
      </c>
      <c r="GI43">
        <v>4</v>
      </c>
      <c r="GJ43">
        <v>0</v>
      </c>
      <c r="GK43">
        <f>ROUND(R43*(S12)/100,2)</f>
        <v>0</v>
      </c>
      <c r="GL43">
        <f t="shared" si="43"/>
        <v>0</v>
      </c>
      <c r="GM43">
        <f t="shared" si="44"/>
        <v>56208.65</v>
      </c>
      <c r="GN43">
        <f t="shared" si="45"/>
        <v>56208.65</v>
      </c>
      <c r="GO43">
        <f t="shared" si="46"/>
        <v>0</v>
      </c>
      <c r="GP43">
        <f t="shared" si="47"/>
        <v>0</v>
      </c>
      <c r="GR43">
        <v>0</v>
      </c>
      <c r="GS43">
        <v>3</v>
      </c>
      <c r="GT43">
        <v>0</v>
      </c>
      <c r="GU43" t="s">
        <v>3</v>
      </c>
      <c r="GV43">
        <f t="shared" si="48"/>
        <v>0</v>
      </c>
      <c r="GW43">
        <v>1</v>
      </c>
      <c r="GX43">
        <f t="shared" si="49"/>
        <v>0</v>
      </c>
      <c r="HA43">
        <v>0</v>
      </c>
      <c r="HB43">
        <v>0</v>
      </c>
      <c r="IK43">
        <v>0</v>
      </c>
    </row>
    <row r="44" spans="1:255">
      <c r="A44" s="2">
        <v>17</v>
      </c>
      <c r="B44" s="2">
        <v>1</v>
      </c>
      <c r="C44" s="2">
        <f>ROW(SmtRes!A73)</f>
        <v>73</v>
      </c>
      <c r="D44" s="2">
        <f>ROW(EtalonRes!A73)</f>
        <v>73</v>
      </c>
      <c r="E44" s="2" t="s">
        <v>79</v>
      </c>
      <c r="F44" s="2" t="s">
        <v>80</v>
      </c>
      <c r="G44" s="2" t="s">
        <v>81</v>
      </c>
      <c r="H44" s="2" t="s">
        <v>82</v>
      </c>
      <c r="I44" s="2">
        <f>ROUND(102.2/100,9)</f>
        <v>1.022</v>
      </c>
      <c r="J44" s="2">
        <v>0</v>
      </c>
      <c r="K44" s="2"/>
      <c r="L44" s="2"/>
      <c r="M44" s="2"/>
      <c r="N44" s="2"/>
      <c r="O44" s="2">
        <f t="shared" si="14"/>
        <v>4216.41</v>
      </c>
      <c r="P44" s="2">
        <f t="shared" si="15"/>
        <v>3499.72</v>
      </c>
      <c r="Q44" s="2">
        <f t="shared" si="16"/>
        <v>101.5</v>
      </c>
      <c r="R44" s="2">
        <f t="shared" si="17"/>
        <v>11.52</v>
      </c>
      <c r="S44" s="2">
        <f t="shared" si="18"/>
        <v>615.19000000000005</v>
      </c>
      <c r="T44" s="2">
        <f t="shared" si="19"/>
        <v>0</v>
      </c>
      <c r="U44" s="2">
        <f t="shared" si="20"/>
        <v>89.416823999999991</v>
      </c>
      <c r="V44" s="2">
        <f t="shared" si="21"/>
        <v>0.86870000000000014</v>
      </c>
      <c r="W44" s="2">
        <f t="shared" si="22"/>
        <v>0</v>
      </c>
      <c r="X44" s="2">
        <f t="shared" si="23"/>
        <v>889.93</v>
      </c>
      <c r="Y44" s="2">
        <f t="shared" si="24"/>
        <v>507.64</v>
      </c>
      <c r="Z44" s="2"/>
      <c r="AA44" s="2">
        <v>34847864</v>
      </c>
      <c r="AB44" s="2">
        <f t="shared" si="25"/>
        <v>4125.6369999999997</v>
      </c>
      <c r="AC44" s="2">
        <f t="shared" si="26"/>
        <v>3424.38</v>
      </c>
      <c r="AD44" s="2">
        <f>ROUND(((((ET44*1.25))-((EU44*1.25)))+AE44),6)</f>
        <v>99.3125</v>
      </c>
      <c r="AE44" s="2">
        <f>ROUND(((EU44*1.25)),6)</f>
        <v>11.275</v>
      </c>
      <c r="AF44" s="2">
        <f>ROUND(((EV44*1.15)),6)</f>
        <v>601.94449999999995</v>
      </c>
      <c r="AG44" s="2">
        <f t="shared" si="28"/>
        <v>0</v>
      </c>
      <c r="AH44" s="2">
        <f>((EW44*1.15))</f>
        <v>87.49199999999999</v>
      </c>
      <c r="AI44" s="2">
        <f>((EX44*1.25))</f>
        <v>0.85000000000000009</v>
      </c>
      <c r="AJ44" s="2">
        <f t="shared" si="30"/>
        <v>0</v>
      </c>
      <c r="AK44" s="2">
        <v>4027.26</v>
      </c>
      <c r="AL44" s="2">
        <v>3424.38</v>
      </c>
      <c r="AM44" s="2">
        <v>79.45</v>
      </c>
      <c r="AN44" s="2">
        <v>9.02</v>
      </c>
      <c r="AO44" s="2">
        <v>523.42999999999995</v>
      </c>
      <c r="AP44" s="2">
        <v>0</v>
      </c>
      <c r="AQ44" s="2">
        <v>76.08</v>
      </c>
      <c r="AR44" s="2">
        <v>0.68</v>
      </c>
      <c r="AS44" s="2">
        <v>0</v>
      </c>
      <c r="AT44" s="2">
        <v>142</v>
      </c>
      <c r="AU44" s="2">
        <v>81</v>
      </c>
      <c r="AV44" s="2">
        <v>1</v>
      </c>
      <c r="AW44" s="2">
        <v>1</v>
      </c>
      <c r="AX44" s="2"/>
      <c r="AY44" s="2"/>
      <c r="AZ44" s="2">
        <v>1</v>
      </c>
      <c r="BA44" s="2">
        <v>1</v>
      </c>
      <c r="BB44" s="2">
        <v>1</v>
      </c>
      <c r="BC44" s="2">
        <v>1</v>
      </c>
      <c r="BD44" s="2" t="s">
        <v>3</v>
      </c>
      <c r="BE44" s="2" t="s">
        <v>3</v>
      </c>
      <c r="BF44" s="2" t="s">
        <v>3</v>
      </c>
      <c r="BG44" s="2" t="s">
        <v>3</v>
      </c>
      <c r="BH44" s="2">
        <v>0</v>
      </c>
      <c r="BI44" s="2">
        <v>1</v>
      </c>
      <c r="BJ44" s="2" t="s">
        <v>83</v>
      </c>
      <c r="BK44" s="2"/>
      <c r="BL44" s="2"/>
      <c r="BM44" s="2">
        <v>27001</v>
      </c>
      <c r="BN44" s="2">
        <v>0</v>
      </c>
      <c r="BO44" s="2" t="s">
        <v>3</v>
      </c>
      <c r="BP44" s="2">
        <v>0</v>
      </c>
      <c r="BQ44" s="2">
        <v>2</v>
      </c>
      <c r="BR44" s="2">
        <v>0</v>
      </c>
      <c r="BS44" s="2">
        <v>1</v>
      </c>
      <c r="BT44" s="2">
        <v>1</v>
      </c>
      <c r="BU44" s="2">
        <v>1</v>
      </c>
      <c r="BV44" s="2">
        <v>1</v>
      </c>
      <c r="BW44" s="2">
        <v>1</v>
      </c>
      <c r="BX44" s="2">
        <v>1</v>
      </c>
      <c r="BY44" s="2" t="s">
        <v>3</v>
      </c>
      <c r="BZ44" s="2">
        <v>142</v>
      </c>
      <c r="CA44" s="2">
        <v>95</v>
      </c>
      <c r="CB44" s="2"/>
      <c r="CC44" s="2"/>
      <c r="CD44" s="2"/>
      <c r="CE44" s="2"/>
      <c r="CF44" s="2">
        <v>0</v>
      </c>
      <c r="CG44" s="2">
        <v>0</v>
      </c>
      <c r="CH44" s="2"/>
      <c r="CI44" s="2"/>
      <c r="CJ44" s="2"/>
      <c r="CK44" s="2"/>
      <c r="CL44" s="2"/>
      <c r="CM44" s="2">
        <v>0</v>
      </c>
      <c r="CN44" s="2" t="s">
        <v>3</v>
      </c>
      <c r="CO44" s="2">
        <v>0</v>
      </c>
      <c r="CP44" s="2">
        <f t="shared" si="31"/>
        <v>4216.41</v>
      </c>
      <c r="CQ44" s="2">
        <f t="shared" si="32"/>
        <v>3424.38</v>
      </c>
      <c r="CR44" s="2">
        <f t="shared" si="33"/>
        <v>99.3125</v>
      </c>
      <c r="CS44" s="2">
        <f t="shared" si="34"/>
        <v>11.275</v>
      </c>
      <c r="CT44" s="2">
        <f t="shared" si="35"/>
        <v>601.94449999999995</v>
      </c>
      <c r="CU44" s="2">
        <f t="shared" si="36"/>
        <v>0</v>
      </c>
      <c r="CV44" s="2">
        <f t="shared" si="37"/>
        <v>87.49199999999999</v>
      </c>
      <c r="CW44" s="2">
        <f t="shared" si="38"/>
        <v>0.85000000000000009</v>
      </c>
      <c r="CX44" s="2">
        <f t="shared" si="39"/>
        <v>0</v>
      </c>
      <c r="CY44" s="2">
        <f t="shared" si="40"/>
        <v>889.92820000000006</v>
      </c>
      <c r="CZ44" s="2">
        <f t="shared" si="41"/>
        <v>507.63510000000002</v>
      </c>
      <c r="DA44" s="2"/>
      <c r="DB44" s="2"/>
      <c r="DC44" s="2" t="s">
        <v>3</v>
      </c>
      <c r="DD44" s="2" t="s">
        <v>3</v>
      </c>
      <c r="DE44" s="2" t="s">
        <v>62</v>
      </c>
      <c r="DF44" s="2" t="s">
        <v>62</v>
      </c>
      <c r="DG44" s="2" t="s">
        <v>63</v>
      </c>
      <c r="DH44" s="2" t="s">
        <v>3</v>
      </c>
      <c r="DI44" s="2" t="s">
        <v>63</v>
      </c>
      <c r="DJ44" s="2" t="s">
        <v>62</v>
      </c>
      <c r="DK44" s="2" t="s">
        <v>3</v>
      </c>
      <c r="DL44" s="2" t="s">
        <v>3</v>
      </c>
      <c r="DM44" s="2" t="s">
        <v>3</v>
      </c>
      <c r="DN44" s="2">
        <v>0</v>
      </c>
      <c r="DO44" s="2">
        <v>0</v>
      </c>
      <c r="DP44" s="2">
        <v>1</v>
      </c>
      <c r="DQ44" s="2">
        <v>1</v>
      </c>
      <c r="DR44" s="2"/>
      <c r="DS44" s="2"/>
      <c r="DT44" s="2"/>
      <c r="DU44" s="2">
        <v>1013</v>
      </c>
      <c r="DV44" s="2" t="s">
        <v>82</v>
      </c>
      <c r="DW44" s="2" t="s">
        <v>82</v>
      </c>
      <c r="DX44" s="2">
        <v>1</v>
      </c>
      <c r="DY44" s="2"/>
      <c r="DZ44" s="2"/>
      <c r="EA44" s="2"/>
      <c r="EB44" s="2"/>
      <c r="EC44" s="2"/>
      <c r="ED44" s="2"/>
      <c r="EE44" s="2">
        <v>24085400</v>
      </c>
      <c r="EF44" s="2">
        <v>2</v>
      </c>
      <c r="EG44" s="2" t="s">
        <v>33</v>
      </c>
      <c r="EH44" s="2">
        <v>0</v>
      </c>
      <c r="EI44" s="2" t="s">
        <v>3</v>
      </c>
      <c r="EJ44" s="2">
        <v>1</v>
      </c>
      <c r="EK44" s="2">
        <v>27001</v>
      </c>
      <c r="EL44" s="2" t="s">
        <v>64</v>
      </c>
      <c r="EM44" s="2" t="s">
        <v>65</v>
      </c>
      <c r="EN44" s="2"/>
      <c r="EO44" s="2" t="s">
        <v>3</v>
      </c>
      <c r="EP44" s="2"/>
      <c r="EQ44" s="2">
        <v>0</v>
      </c>
      <c r="ER44" s="2">
        <v>4027.26</v>
      </c>
      <c r="ES44" s="2">
        <v>3424.38</v>
      </c>
      <c r="ET44" s="2">
        <v>79.45</v>
      </c>
      <c r="EU44" s="2">
        <v>9.02</v>
      </c>
      <c r="EV44" s="2">
        <v>523.42999999999995</v>
      </c>
      <c r="EW44" s="2">
        <v>76.08</v>
      </c>
      <c r="EX44" s="2">
        <v>0.68</v>
      </c>
      <c r="EY44" s="2">
        <v>0</v>
      </c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>
        <v>0</v>
      </c>
      <c r="FR44" s="2">
        <f t="shared" si="42"/>
        <v>0</v>
      </c>
      <c r="FS44" s="2">
        <v>0</v>
      </c>
      <c r="FT44" s="2"/>
      <c r="FU44" s="2" t="s">
        <v>21</v>
      </c>
      <c r="FV44" s="2"/>
      <c r="FW44" s="2"/>
      <c r="FX44" s="2">
        <v>142</v>
      </c>
      <c r="FY44" s="2">
        <v>80.75</v>
      </c>
      <c r="FZ44" s="2"/>
      <c r="GA44" s="2" t="s">
        <v>3</v>
      </c>
      <c r="GB44" s="2"/>
      <c r="GC44" s="2"/>
      <c r="GD44" s="2">
        <v>0</v>
      </c>
      <c r="GE44" s="2"/>
      <c r="GF44" s="2">
        <v>1419155058</v>
      </c>
      <c r="GG44" s="2">
        <v>2</v>
      </c>
      <c r="GH44" s="2">
        <v>1</v>
      </c>
      <c r="GI44" s="2">
        <v>-2</v>
      </c>
      <c r="GJ44" s="2">
        <v>0</v>
      </c>
      <c r="GK44" s="2">
        <f>ROUND(R44*(R12)/100,2)</f>
        <v>0</v>
      </c>
      <c r="GL44" s="2">
        <f t="shared" si="43"/>
        <v>0</v>
      </c>
      <c r="GM44" s="2">
        <f t="shared" si="44"/>
        <v>5613.98</v>
      </c>
      <c r="GN44" s="2">
        <f t="shared" si="45"/>
        <v>5613.98</v>
      </c>
      <c r="GO44" s="2">
        <f t="shared" si="46"/>
        <v>0</v>
      </c>
      <c r="GP44" s="2">
        <f t="shared" si="47"/>
        <v>0</v>
      </c>
      <c r="GQ44" s="2"/>
      <c r="GR44" s="2">
        <v>0</v>
      </c>
      <c r="GS44" s="2">
        <v>3</v>
      </c>
      <c r="GT44" s="2">
        <v>0</v>
      </c>
      <c r="GU44" s="2" t="s">
        <v>3</v>
      </c>
      <c r="GV44" s="2">
        <f t="shared" si="48"/>
        <v>0</v>
      </c>
      <c r="GW44" s="2">
        <v>1</v>
      </c>
      <c r="GX44" s="2">
        <f t="shared" si="49"/>
        <v>0</v>
      </c>
      <c r="GY44" s="2"/>
      <c r="GZ44" s="2"/>
      <c r="HA44" s="2">
        <v>0</v>
      </c>
      <c r="HB44" s="2">
        <v>0</v>
      </c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>
        <v>0</v>
      </c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>
      <c r="A45">
        <v>17</v>
      </c>
      <c r="B45">
        <v>1</v>
      </c>
      <c r="C45">
        <f>ROW(SmtRes!A82)</f>
        <v>82</v>
      </c>
      <c r="D45">
        <f>ROW(EtalonRes!A82)</f>
        <v>82</v>
      </c>
      <c r="E45" t="s">
        <v>79</v>
      </c>
      <c r="F45" t="s">
        <v>80</v>
      </c>
      <c r="G45" t="s">
        <v>81</v>
      </c>
      <c r="H45" t="s">
        <v>82</v>
      </c>
      <c r="I45">
        <f>ROUND(102.2/100,9)</f>
        <v>1.022</v>
      </c>
      <c r="J45">
        <v>0</v>
      </c>
      <c r="O45">
        <f t="shared" si="14"/>
        <v>31392.31</v>
      </c>
      <c r="P45">
        <f t="shared" si="15"/>
        <v>20648.330000000002</v>
      </c>
      <c r="Q45">
        <f t="shared" si="16"/>
        <v>630.29999999999995</v>
      </c>
      <c r="R45">
        <f t="shared" si="17"/>
        <v>189.44</v>
      </c>
      <c r="S45">
        <f t="shared" si="18"/>
        <v>10113.68</v>
      </c>
      <c r="T45">
        <f t="shared" si="19"/>
        <v>0</v>
      </c>
      <c r="U45">
        <f t="shared" si="20"/>
        <v>89.416823999999991</v>
      </c>
      <c r="V45">
        <f t="shared" si="21"/>
        <v>0.86870000000000014</v>
      </c>
      <c r="W45">
        <f t="shared" si="22"/>
        <v>0</v>
      </c>
      <c r="X45">
        <f t="shared" si="23"/>
        <v>12466.78</v>
      </c>
      <c r="Y45">
        <f t="shared" si="24"/>
        <v>6697.03</v>
      </c>
      <c r="AA45">
        <v>34847877</v>
      </c>
      <c r="AB45">
        <f t="shared" si="25"/>
        <v>4125.6369999999997</v>
      </c>
      <c r="AC45">
        <f t="shared" si="26"/>
        <v>3424.38</v>
      </c>
      <c r="AD45">
        <f>ROUND(((((ET45*1.25))-((EU45*1.25)))+AE45),6)</f>
        <v>99.3125</v>
      </c>
      <c r="AE45">
        <f>ROUND(((EU45*1.25)),6)</f>
        <v>11.275</v>
      </c>
      <c r="AF45">
        <f>ROUND(((EV45*1.15)),6)</f>
        <v>601.94449999999995</v>
      </c>
      <c r="AG45">
        <f t="shared" si="28"/>
        <v>0</v>
      </c>
      <c r="AH45">
        <f>((EW45*1.15))</f>
        <v>87.49199999999999</v>
      </c>
      <c r="AI45">
        <f>((EX45*1.25))</f>
        <v>0.85000000000000009</v>
      </c>
      <c r="AJ45">
        <f t="shared" si="30"/>
        <v>0</v>
      </c>
      <c r="AK45">
        <v>4027.26</v>
      </c>
      <c r="AL45">
        <v>3424.38</v>
      </c>
      <c r="AM45">
        <v>79.45</v>
      </c>
      <c r="AN45">
        <v>9.02</v>
      </c>
      <c r="AO45">
        <v>523.42999999999995</v>
      </c>
      <c r="AP45">
        <v>0</v>
      </c>
      <c r="AQ45">
        <v>76.08</v>
      </c>
      <c r="AR45">
        <v>0.68</v>
      </c>
      <c r="AS45">
        <v>0</v>
      </c>
      <c r="AT45">
        <v>121</v>
      </c>
      <c r="AU45">
        <v>65</v>
      </c>
      <c r="AV45">
        <v>1</v>
      </c>
      <c r="AW45">
        <v>1</v>
      </c>
      <c r="AZ45">
        <v>1</v>
      </c>
      <c r="BA45">
        <v>16.440000000000001</v>
      </c>
      <c r="BB45">
        <v>6.21</v>
      </c>
      <c r="BC45">
        <v>5.9</v>
      </c>
      <c r="BD45" t="s">
        <v>3</v>
      </c>
      <c r="BE45" t="s">
        <v>3</v>
      </c>
      <c r="BF45" t="s">
        <v>3</v>
      </c>
      <c r="BG45" t="s">
        <v>3</v>
      </c>
      <c r="BH45">
        <v>0</v>
      </c>
      <c r="BI45">
        <v>1</v>
      </c>
      <c r="BJ45" t="s">
        <v>83</v>
      </c>
      <c r="BM45">
        <v>27001</v>
      </c>
      <c r="BN45">
        <v>0</v>
      </c>
      <c r="BO45" t="s">
        <v>3</v>
      </c>
      <c r="BP45">
        <v>0</v>
      </c>
      <c r="BQ45">
        <v>2</v>
      </c>
      <c r="BR45">
        <v>0</v>
      </c>
      <c r="BS45">
        <v>16.440000000000001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142</v>
      </c>
      <c r="CA45">
        <v>95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1"/>
        <v>31392.31</v>
      </c>
      <c r="CQ45">
        <f t="shared" si="32"/>
        <v>20203.842000000001</v>
      </c>
      <c r="CR45">
        <f t="shared" si="33"/>
        <v>616.73062500000003</v>
      </c>
      <c r="CS45">
        <f t="shared" si="34"/>
        <v>185.36100000000002</v>
      </c>
      <c r="CT45">
        <f t="shared" si="35"/>
        <v>9895.9675800000005</v>
      </c>
      <c r="CU45">
        <f t="shared" si="36"/>
        <v>0</v>
      </c>
      <c r="CV45">
        <f t="shared" si="37"/>
        <v>87.49199999999999</v>
      </c>
      <c r="CW45">
        <f t="shared" si="38"/>
        <v>0.85000000000000009</v>
      </c>
      <c r="CX45">
        <f t="shared" si="39"/>
        <v>0</v>
      </c>
      <c r="CY45">
        <f t="shared" si="40"/>
        <v>12466.7752</v>
      </c>
      <c r="CZ45">
        <f t="shared" si="41"/>
        <v>6697.0280000000002</v>
      </c>
      <c r="DC45" t="s">
        <v>3</v>
      </c>
      <c r="DD45" t="s">
        <v>3</v>
      </c>
      <c r="DE45" t="s">
        <v>62</v>
      </c>
      <c r="DF45" t="s">
        <v>62</v>
      </c>
      <c r="DG45" t="s">
        <v>63</v>
      </c>
      <c r="DH45" t="s">
        <v>3</v>
      </c>
      <c r="DI45" t="s">
        <v>63</v>
      </c>
      <c r="DJ45" t="s">
        <v>62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1013</v>
      </c>
      <c r="DV45" t="s">
        <v>82</v>
      </c>
      <c r="DW45" t="s">
        <v>82</v>
      </c>
      <c r="DX45">
        <v>1</v>
      </c>
      <c r="EE45">
        <v>24085400</v>
      </c>
      <c r="EF45">
        <v>2</v>
      </c>
      <c r="EG45" t="s">
        <v>33</v>
      </c>
      <c r="EH45">
        <v>0</v>
      </c>
      <c r="EI45" t="s">
        <v>3</v>
      </c>
      <c r="EJ45">
        <v>1</v>
      </c>
      <c r="EK45">
        <v>27001</v>
      </c>
      <c r="EL45" t="s">
        <v>64</v>
      </c>
      <c r="EM45" t="s">
        <v>65</v>
      </c>
      <c r="EO45" t="s">
        <v>3</v>
      </c>
      <c r="EQ45">
        <v>0</v>
      </c>
      <c r="ER45">
        <v>4027.26</v>
      </c>
      <c r="ES45">
        <v>3424.38</v>
      </c>
      <c r="ET45">
        <v>79.45</v>
      </c>
      <c r="EU45">
        <v>9.02</v>
      </c>
      <c r="EV45">
        <v>523.42999999999995</v>
      </c>
      <c r="EW45">
        <v>76.08</v>
      </c>
      <c r="EX45">
        <v>0.68</v>
      </c>
      <c r="EY45">
        <v>0</v>
      </c>
      <c r="FQ45">
        <v>0</v>
      </c>
      <c r="FR45">
        <f t="shared" si="42"/>
        <v>0</v>
      </c>
      <c r="FS45">
        <v>0</v>
      </c>
      <c r="FU45" t="s">
        <v>21</v>
      </c>
      <c r="FV45" t="s">
        <v>21</v>
      </c>
      <c r="FW45" t="s">
        <v>22</v>
      </c>
      <c r="FX45">
        <v>142</v>
      </c>
      <c r="FY45">
        <v>80.75</v>
      </c>
      <c r="GA45" t="s">
        <v>3</v>
      </c>
      <c r="GD45">
        <v>0</v>
      </c>
      <c r="GF45">
        <v>1419155058</v>
      </c>
      <c r="GG45">
        <v>2</v>
      </c>
      <c r="GH45">
        <v>1</v>
      </c>
      <c r="GI45">
        <v>4</v>
      </c>
      <c r="GJ45">
        <v>0</v>
      </c>
      <c r="GK45">
        <f>ROUND(R45*(S12)/100,2)</f>
        <v>0</v>
      </c>
      <c r="GL45">
        <f t="shared" si="43"/>
        <v>0</v>
      </c>
      <c r="GM45">
        <f t="shared" si="44"/>
        <v>50556.12</v>
      </c>
      <c r="GN45">
        <f t="shared" si="45"/>
        <v>50556.12</v>
      </c>
      <c r="GO45">
        <f t="shared" si="46"/>
        <v>0</v>
      </c>
      <c r="GP45">
        <f t="shared" si="47"/>
        <v>0</v>
      </c>
      <c r="GR45">
        <v>0</v>
      </c>
      <c r="GS45">
        <v>3</v>
      </c>
      <c r="GT45">
        <v>0</v>
      </c>
      <c r="GU45" t="s">
        <v>3</v>
      </c>
      <c r="GV45">
        <f t="shared" si="48"/>
        <v>0</v>
      </c>
      <c r="GW45">
        <v>1</v>
      </c>
      <c r="GX45">
        <f t="shared" si="49"/>
        <v>0</v>
      </c>
      <c r="HA45">
        <v>0</v>
      </c>
      <c r="HB45">
        <v>0</v>
      </c>
      <c r="IK45">
        <v>0</v>
      </c>
    </row>
    <row r="46" spans="1:255">
      <c r="A46" s="2">
        <v>18</v>
      </c>
      <c r="B46" s="2">
        <v>1</v>
      </c>
      <c r="C46" s="2">
        <v>73</v>
      </c>
      <c r="D46" s="2"/>
      <c r="E46" s="2" t="s">
        <v>84</v>
      </c>
      <c r="F46" s="2" t="s">
        <v>85</v>
      </c>
      <c r="G46" s="2" t="s">
        <v>86</v>
      </c>
      <c r="H46" s="2" t="s">
        <v>87</v>
      </c>
      <c r="I46" s="2">
        <f>I44*J46</f>
        <v>103</v>
      </c>
      <c r="J46" s="2">
        <v>100.78277886497064</v>
      </c>
      <c r="K46" s="2"/>
      <c r="L46" s="2"/>
      <c r="M46" s="2"/>
      <c r="N46" s="2"/>
      <c r="O46" s="2">
        <f t="shared" si="14"/>
        <v>2133.13</v>
      </c>
      <c r="P46" s="2">
        <f t="shared" si="15"/>
        <v>2133.13</v>
      </c>
      <c r="Q46" s="2">
        <f t="shared" si="16"/>
        <v>0</v>
      </c>
      <c r="R46" s="2">
        <f t="shared" si="17"/>
        <v>0</v>
      </c>
      <c r="S46" s="2">
        <f t="shared" si="18"/>
        <v>0</v>
      </c>
      <c r="T46" s="2">
        <f t="shared" si="19"/>
        <v>0</v>
      </c>
      <c r="U46" s="2">
        <f t="shared" si="20"/>
        <v>0</v>
      </c>
      <c r="V46" s="2">
        <f t="shared" si="21"/>
        <v>0</v>
      </c>
      <c r="W46" s="2">
        <f t="shared" si="22"/>
        <v>0</v>
      </c>
      <c r="X46" s="2">
        <f t="shared" si="23"/>
        <v>0</v>
      </c>
      <c r="Y46" s="2">
        <f t="shared" si="24"/>
        <v>0</v>
      </c>
      <c r="Z46" s="2"/>
      <c r="AA46" s="2">
        <v>34847864</v>
      </c>
      <c r="AB46" s="2">
        <f t="shared" si="25"/>
        <v>20.71</v>
      </c>
      <c r="AC46" s="2">
        <f t="shared" si="26"/>
        <v>20.71</v>
      </c>
      <c r="AD46" s="2">
        <f>ROUND((((ET46)-(EU46))+AE46),6)</f>
        <v>0</v>
      </c>
      <c r="AE46" s="2">
        <f>ROUND((EU46),6)</f>
        <v>0</v>
      </c>
      <c r="AF46" s="2">
        <f>ROUND((EV46),6)</f>
        <v>0</v>
      </c>
      <c r="AG46" s="2">
        <f t="shared" si="28"/>
        <v>0</v>
      </c>
      <c r="AH46" s="2">
        <f>(EW46)</f>
        <v>0</v>
      </c>
      <c r="AI46" s="2">
        <f>(EX46)</f>
        <v>0</v>
      </c>
      <c r="AJ46" s="2">
        <f t="shared" si="30"/>
        <v>0</v>
      </c>
      <c r="AK46" s="2">
        <v>20.71</v>
      </c>
      <c r="AL46" s="2">
        <v>20.71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142</v>
      </c>
      <c r="AU46" s="2">
        <v>81</v>
      </c>
      <c r="AV46" s="2">
        <v>1</v>
      </c>
      <c r="AW46" s="2">
        <v>1</v>
      </c>
      <c r="AX46" s="2"/>
      <c r="AY46" s="2"/>
      <c r="AZ46" s="2">
        <v>1</v>
      </c>
      <c r="BA46" s="2">
        <v>1</v>
      </c>
      <c r="BB46" s="2">
        <v>1</v>
      </c>
      <c r="BC46" s="2">
        <v>1</v>
      </c>
      <c r="BD46" s="2" t="s">
        <v>3</v>
      </c>
      <c r="BE46" s="2" t="s">
        <v>3</v>
      </c>
      <c r="BF46" s="2" t="s">
        <v>3</v>
      </c>
      <c r="BG46" s="2" t="s">
        <v>3</v>
      </c>
      <c r="BH46" s="2">
        <v>3</v>
      </c>
      <c r="BI46" s="2">
        <v>1</v>
      </c>
      <c r="BJ46" s="2" t="s">
        <v>88</v>
      </c>
      <c r="BK46" s="2"/>
      <c r="BL46" s="2"/>
      <c r="BM46" s="2">
        <v>27001</v>
      </c>
      <c r="BN46" s="2">
        <v>0</v>
      </c>
      <c r="BO46" s="2" t="s">
        <v>3</v>
      </c>
      <c r="BP46" s="2">
        <v>0</v>
      </c>
      <c r="BQ46" s="2">
        <v>2</v>
      </c>
      <c r="BR46" s="2">
        <v>0</v>
      </c>
      <c r="BS46" s="2">
        <v>1</v>
      </c>
      <c r="BT46" s="2">
        <v>1</v>
      </c>
      <c r="BU46" s="2">
        <v>1</v>
      </c>
      <c r="BV46" s="2">
        <v>1</v>
      </c>
      <c r="BW46" s="2">
        <v>1</v>
      </c>
      <c r="BX46" s="2">
        <v>1</v>
      </c>
      <c r="BY46" s="2" t="s">
        <v>3</v>
      </c>
      <c r="BZ46" s="2">
        <v>142</v>
      </c>
      <c r="CA46" s="2">
        <v>95</v>
      </c>
      <c r="CB46" s="2"/>
      <c r="CC46" s="2"/>
      <c r="CD46" s="2"/>
      <c r="CE46" s="2"/>
      <c r="CF46" s="2">
        <v>0</v>
      </c>
      <c r="CG46" s="2">
        <v>0</v>
      </c>
      <c r="CH46" s="2"/>
      <c r="CI46" s="2"/>
      <c r="CJ46" s="2"/>
      <c r="CK46" s="2"/>
      <c r="CL46" s="2"/>
      <c r="CM46" s="2">
        <v>0</v>
      </c>
      <c r="CN46" s="2" t="s">
        <v>3</v>
      </c>
      <c r="CO46" s="2">
        <v>0</v>
      </c>
      <c r="CP46" s="2">
        <f t="shared" si="31"/>
        <v>2133.13</v>
      </c>
      <c r="CQ46" s="2">
        <f t="shared" si="32"/>
        <v>20.71</v>
      </c>
      <c r="CR46" s="2">
        <f t="shared" si="33"/>
        <v>0</v>
      </c>
      <c r="CS46" s="2">
        <f t="shared" si="34"/>
        <v>0</v>
      </c>
      <c r="CT46" s="2">
        <f t="shared" si="35"/>
        <v>0</v>
      </c>
      <c r="CU46" s="2">
        <f t="shared" si="36"/>
        <v>0</v>
      </c>
      <c r="CV46" s="2">
        <f t="shared" si="37"/>
        <v>0</v>
      </c>
      <c r="CW46" s="2">
        <f t="shared" si="38"/>
        <v>0</v>
      </c>
      <c r="CX46" s="2">
        <f t="shared" si="39"/>
        <v>0</v>
      </c>
      <c r="CY46" s="2">
        <f t="shared" si="40"/>
        <v>0</v>
      </c>
      <c r="CZ46" s="2">
        <f t="shared" si="41"/>
        <v>0</v>
      </c>
      <c r="DA46" s="2"/>
      <c r="DB46" s="2"/>
      <c r="DC46" s="2" t="s">
        <v>3</v>
      </c>
      <c r="DD46" s="2" t="s">
        <v>3</v>
      </c>
      <c r="DE46" s="2" t="s">
        <v>3</v>
      </c>
      <c r="DF46" s="2" t="s">
        <v>3</v>
      </c>
      <c r="DG46" s="2" t="s">
        <v>3</v>
      </c>
      <c r="DH46" s="2" t="s">
        <v>3</v>
      </c>
      <c r="DI46" s="2" t="s">
        <v>3</v>
      </c>
      <c r="DJ46" s="2" t="s">
        <v>3</v>
      </c>
      <c r="DK46" s="2" t="s">
        <v>3</v>
      </c>
      <c r="DL46" s="2" t="s">
        <v>3</v>
      </c>
      <c r="DM46" s="2" t="s">
        <v>3</v>
      </c>
      <c r="DN46" s="2">
        <v>0</v>
      </c>
      <c r="DO46" s="2">
        <v>0</v>
      </c>
      <c r="DP46" s="2">
        <v>1</v>
      </c>
      <c r="DQ46" s="2">
        <v>1</v>
      </c>
      <c r="DR46" s="2"/>
      <c r="DS46" s="2"/>
      <c r="DT46" s="2"/>
      <c r="DU46" s="2">
        <v>1010</v>
      </c>
      <c r="DV46" s="2" t="s">
        <v>87</v>
      </c>
      <c r="DW46" s="2" t="s">
        <v>87</v>
      </c>
      <c r="DX46" s="2">
        <v>1</v>
      </c>
      <c r="DY46" s="2"/>
      <c r="DZ46" s="2"/>
      <c r="EA46" s="2"/>
      <c r="EB46" s="2"/>
      <c r="EC46" s="2"/>
      <c r="ED46" s="2"/>
      <c r="EE46" s="2">
        <v>24085400</v>
      </c>
      <c r="EF46" s="2">
        <v>2</v>
      </c>
      <c r="EG46" s="2" t="s">
        <v>33</v>
      </c>
      <c r="EH46" s="2">
        <v>0</v>
      </c>
      <c r="EI46" s="2" t="s">
        <v>3</v>
      </c>
      <c r="EJ46" s="2">
        <v>1</v>
      </c>
      <c r="EK46" s="2">
        <v>27001</v>
      </c>
      <c r="EL46" s="2" t="s">
        <v>64</v>
      </c>
      <c r="EM46" s="2" t="s">
        <v>65</v>
      </c>
      <c r="EN46" s="2"/>
      <c r="EO46" s="2" t="s">
        <v>3</v>
      </c>
      <c r="EP46" s="2"/>
      <c r="EQ46" s="2">
        <v>0</v>
      </c>
      <c r="ER46" s="2">
        <v>20.71</v>
      </c>
      <c r="ES46" s="2">
        <v>20.71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>
        <v>0</v>
      </c>
      <c r="FR46" s="2">
        <f t="shared" si="42"/>
        <v>0</v>
      </c>
      <c r="FS46" s="2">
        <v>0</v>
      </c>
      <c r="FT46" s="2"/>
      <c r="FU46" s="2" t="s">
        <v>21</v>
      </c>
      <c r="FV46" s="2"/>
      <c r="FW46" s="2"/>
      <c r="FX46" s="2">
        <v>142</v>
      </c>
      <c r="FY46" s="2">
        <v>80.75</v>
      </c>
      <c r="FZ46" s="2"/>
      <c r="GA46" s="2" t="s">
        <v>3</v>
      </c>
      <c r="GB46" s="2"/>
      <c r="GC46" s="2"/>
      <c r="GD46" s="2">
        <v>0</v>
      </c>
      <c r="GE46" s="2"/>
      <c r="GF46" s="2">
        <v>-892694326</v>
      </c>
      <c r="GG46" s="2">
        <v>2</v>
      </c>
      <c r="GH46" s="2">
        <v>1</v>
      </c>
      <c r="GI46" s="2">
        <v>-2</v>
      </c>
      <c r="GJ46" s="2">
        <v>0</v>
      </c>
      <c r="GK46" s="2">
        <f>ROUND(R46*(R12)/100,2)</f>
        <v>0</v>
      </c>
      <c r="GL46" s="2">
        <f t="shared" si="43"/>
        <v>0</v>
      </c>
      <c r="GM46" s="2">
        <f t="shared" si="44"/>
        <v>2133.13</v>
      </c>
      <c r="GN46" s="2">
        <f t="shared" si="45"/>
        <v>2133.13</v>
      </c>
      <c r="GO46" s="2">
        <f t="shared" si="46"/>
        <v>0</v>
      </c>
      <c r="GP46" s="2">
        <f t="shared" si="47"/>
        <v>0</v>
      </c>
      <c r="GQ46" s="2"/>
      <c r="GR46" s="2">
        <v>0</v>
      </c>
      <c r="GS46" s="2">
        <v>3</v>
      </c>
      <c r="GT46" s="2">
        <v>0</v>
      </c>
      <c r="GU46" s="2" t="s">
        <v>3</v>
      </c>
      <c r="GV46" s="2">
        <f t="shared" si="48"/>
        <v>0</v>
      </c>
      <c r="GW46" s="2">
        <v>1</v>
      </c>
      <c r="GX46" s="2">
        <f t="shared" si="49"/>
        <v>0</v>
      </c>
      <c r="GY46" s="2"/>
      <c r="GZ46" s="2"/>
      <c r="HA46" s="2">
        <v>0</v>
      </c>
      <c r="HB46" s="2">
        <v>0</v>
      </c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>
        <v>0</v>
      </c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>
      <c r="A47">
        <v>18</v>
      </c>
      <c r="B47">
        <v>1</v>
      </c>
      <c r="C47">
        <v>82</v>
      </c>
      <c r="E47" t="s">
        <v>84</v>
      </c>
      <c r="F47" t="s">
        <v>85</v>
      </c>
      <c r="G47" t="s">
        <v>86</v>
      </c>
      <c r="H47" t="s">
        <v>87</v>
      </c>
      <c r="I47">
        <f>I45*J47</f>
        <v>103</v>
      </c>
      <c r="J47">
        <v>100.78277886497064</v>
      </c>
      <c r="O47">
        <f t="shared" si="14"/>
        <v>12585.47</v>
      </c>
      <c r="P47">
        <f t="shared" si="15"/>
        <v>12585.47</v>
      </c>
      <c r="Q47">
        <f t="shared" si="16"/>
        <v>0</v>
      </c>
      <c r="R47">
        <f t="shared" si="17"/>
        <v>0</v>
      </c>
      <c r="S47">
        <f t="shared" si="18"/>
        <v>0</v>
      </c>
      <c r="T47">
        <f t="shared" si="19"/>
        <v>0</v>
      </c>
      <c r="U47">
        <f t="shared" si="20"/>
        <v>0</v>
      </c>
      <c r="V47">
        <f t="shared" si="21"/>
        <v>0</v>
      </c>
      <c r="W47">
        <f t="shared" si="22"/>
        <v>0</v>
      </c>
      <c r="X47">
        <f t="shared" si="23"/>
        <v>0</v>
      </c>
      <c r="Y47">
        <f t="shared" si="24"/>
        <v>0</v>
      </c>
      <c r="AA47">
        <v>34847877</v>
      </c>
      <c r="AB47">
        <f t="shared" si="25"/>
        <v>20.71</v>
      </c>
      <c r="AC47">
        <f t="shared" si="26"/>
        <v>20.71</v>
      </c>
      <c r="AD47">
        <f>ROUND((((ET47)-(EU47))+AE47),6)</f>
        <v>0</v>
      </c>
      <c r="AE47">
        <f>ROUND((EU47),6)</f>
        <v>0</v>
      </c>
      <c r="AF47">
        <f>ROUND((EV47),6)</f>
        <v>0</v>
      </c>
      <c r="AG47">
        <f t="shared" si="28"/>
        <v>0</v>
      </c>
      <c r="AH47">
        <f>(EW47)</f>
        <v>0</v>
      </c>
      <c r="AI47">
        <f>(EX47)</f>
        <v>0</v>
      </c>
      <c r="AJ47">
        <f t="shared" si="30"/>
        <v>0</v>
      </c>
      <c r="AK47">
        <v>20.71</v>
      </c>
      <c r="AL47">
        <v>20.71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121</v>
      </c>
      <c r="AU47">
        <v>65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5.9</v>
      </c>
      <c r="BD47" t="s">
        <v>3</v>
      </c>
      <c r="BE47" t="s">
        <v>3</v>
      </c>
      <c r="BF47" t="s">
        <v>3</v>
      </c>
      <c r="BG47" t="s">
        <v>3</v>
      </c>
      <c r="BH47">
        <v>3</v>
      </c>
      <c r="BI47">
        <v>1</v>
      </c>
      <c r="BJ47" t="s">
        <v>88</v>
      </c>
      <c r="BM47">
        <v>27001</v>
      </c>
      <c r="BN47">
        <v>0</v>
      </c>
      <c r="BO47" t="s">
        <v>3</v>
      </c>
      <c r="BP47">
        <v>0</v>
      </c>
      <c r="BQ47">
        <v>2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142</v>
      </c>
      <c r="CA47">
        <v>95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31"/>
        <v>12585.47</v>
      </c>
      <c r="CQ47">
        <f t="shared" si="32"/>
        <v>122.18900000000001</v>
      </c>
      <c r="CR47">
        <f t="shared" si="33"/>
        <v>0</v>
      </c>
      <c r="CS47">
        <f t="shared" si="34"/>
        <v>0</v>
      </c>
      <c r="CT47">
        <f t="shared" si="35"/>
        <v>0</v>
      </c>
      <c r="CU47">
        <f t="shared" si="36"/>
        <v>0</v>
      </c>
      <c r="CV47">
        <f t="shared" si="37"/>
        <v>0</v>
      </c>
      <c r="CW47">
        <f t="shared" si="38"/>
        <v>0</v>
      </c>
      <c r="CX47">
        <f t="shared" si="39"/>
        <v>0</v>
      </c>
      <c r="CY47">
        <f t="shared" si="40"/>
        <v>0</v>
      </c>
      <c r="CZ47">
        <f t="shared" si="41"/>
        <v>0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1010</v>
      </c>
      <c r="DV47" t="s">
        <v>87</v>
      </c>
      <c r="DW47" t="s">
        <v>87</v>
      </c>
      <c r="DX47">
        <v>1</v>
      </c>
      <c r="EE47">
        <v>24085400</v>
      </c>
      <c r="EF47">
        <v>2</v>
      </c>
      <c r="EG47" t="s">
        <v>33</v>
      </c>
      <c r="EH47">
        <v>0</v>
      </c>
      <c r="EI47" t="s">
        <v>3</v>
      </c>
      <c r="EJ47">
        <v>1</v>
      </c>
      <c r="EK47">
        <v>27001</v>
      </c>
      <c r="EL47" t="s">
        <v>64</v>
      </c>
      <c r="EM47" t="s">
        <v>65</v>
      </c>
      <c r="EO47" t="s">
        <v>3</v>
      </c>
      <c r="EQ47">
        <v>0</v>
      </c>
      <c r="ER47">
        <v>20.71</v>
      </c>
      <c r="ES47">
        <v>20.71</v>
      </c>
      <c r="ET47">
        <v>0</v>
      </c>
      <c r="EU47">
        <v>0</v>
      </c>
      <c r="EV47">
        <v>0</v>
      </c>
      <c r="EW47">
        <v>0</v>
      </c>
      <c r="EX47">
        <v>0</v>
      </c>
      <c r="FQ47">
        <v>0</v>
      </c>
      <c r="FR47">
        <f t="shared" si="42"/>
        <v>0</v>
      </c>
      <c r="FS47">
        <v>0</v>
      </c>
      <c r="FU47" t="s">
        <v>21</v>
      </c>
      <c r="FV47" t="s">
        <v>21</v>
      </c>
      <c r="FW47" t="s">
        <v>22</v>
      </c>
      <c r="FX47">
        <v>142</v>
      </c>
      <c r="FY47">
        <v>80.75</v>
      </c>
      <c r="GA47" t="s">
        <v>3</v>
      </c>
      <c r="GD47">
        <v>0</v>
      </c>
      <c r="GF47">
        <v>-892694326</v>
      </c>
      <c r="GG47">
        <v>2</v>
      </c>
      <c r="GH47">
        <v>1</v>
      </c>
      <c r="GI47">
        <v>4</v>
      </c>
      <c r="GJ47">
        <v>0</v>
      </c>
      <c r="GK47">
        <f>ROUND(R47*(S12)/100,2)</f>
        <v>0</v>
      </c>
      <c r="GL47">
        <f t="shared" si="43"/>
        <v>0</v>
      </c>
      <c r="GM47">
        <f t="shared" si="44"/>
        <v>12585.47</v>
      </c>
      <c r="GN47">
        <f t="shared" si="45"/>
        <v>12585.47</v>
      </c>
      <c r="GO47">
        <f t="shared" si="46"/>
        <v>0</v>
      </c>
      <c r="GP47">
        <f t="shared" si="47"/>
        <v>0</v>
      </c>
      <c r="GR47">
        <v>0</v>
      </c>
      <c r="GS47">
        <v>3</v>
      </c>
      <c r="GT47">
        <v>0</v>
      </c>
      <c r="GU47" t="s">
        <v>3</v>
      </c>
      <c r="GV47">
        <f t="shared" si="48"/>
        <v>0</v>
      </c>
      <c r="GW47">
        <v>1</v>
      </c>
      <c r="GX47">
        <f t="shared" si="49"/>
        <v>0</v>
      </c>
      <c r="HA47">
        <v>0</v>
      </c>
      <c r="HB47">
        <v>0</v>
      </c>
      <c r="IK47">
        <v>0</v>
      </c>
    </row>
    <row r="48" spans="1:255">
      <c r="A48" s="2">
        <v>17</v>
      </c>
      <c r="B48" s="2">
        <v>1</v>
      </c>
      <c r="C48" s="2">
        <f>ROW(SmtRes!A83)</f>
        <v>83</v>
      </c>
      <c r="D48" s="2">
        <f>ROW(EtalonRes!A83)</f>
        <v>83</v>
      </c>
      <c r="E48" s="2" t="s">
        <v>89</v>
      </c>
      <c r="F48" s="2" t="s">
        <v>90</v>
      </c>
      <c r="G48" s="2" t="s">
        <v>91</v>
      </c>
      <c r="H48" s="2" t="s">
        <v>92</v>
      </c>
      <c r="I48" s="2">
        <f>ROUND(2/100,9)</f>
        <v>0.02</v>
      </c>
      <c r="J48" s="2">
        <v>0</v>
      </c>
      <c r="K48" s="2"/>
      <c r="L48" s="2"/>
      <c r="M48" s="2"/>
      <c r="N48" s="2"/>
      <c r="O48" s="2">
        <f t="shared" si="14"/>
        <v>13.64</v>
      </c>
      <c r="P48" s="2">
        <f t="shared" si="15"/>
        <v>0</v>
      </c>
      <c r="Q48" s="2">
        <f t="shared" si="16"/>
        <v>0</v>
      </c>
      <c r="R48" s="2">
        <f t="shared" si="17"/>
        <v>0</v>
      </c>
      <c r="S48" s="2">
        <f t="shared" si="18"/>
        <v>13.64</v>
      </c>
      <c r="T48" s="2">
        <f t="shared" si="19"/>
        <v>0</v>
      </c>
      <c r="U48" s="2">
        <f t="shared" si="20"/>
        <v>2.2356000000000003</v>
      </c>
      <c r="V48" s="2">
        <f t="shared" si="21"/>
        <v>0</v>
      </c>
      <c r="W48" s="2">
        <f t="shared" si="22"/>
        <v>0</v>
      </c>
      <c r="X48" s="2">
        <f t="shared" si="23"/>
        <v>10.91</v>
      </c>
      <c r="Y48" s="2">
        <f t="shared" si="24"/>
        <v>5.18</v>
      </c>
      <c r="Z48" s="2"/>
      <c r="AA48" s="2">
        <v>34847864</v>
      </c>
      <c r="AB48" s="2">
        <f t="shared" si="25"/>
        <v>681.85799999999995</v>
      </c>
      <c r="AC48" s="2">
        <f t="shared" si="26"/>
        <v>0</v>
      </c>
      <c r="AD48" s="2">
        <f>ROUND(((((ET48*1.25))-((EU48*1.25)))+AE48),6)</f>
        <v>0</v>
      </c>
      <c r="AE48" s="2">
        <f>ROUND(((EU48*1.25)),6)</f>
        <v>0</v>
      </c>
      <c r="AF48" s="2">
        <f>ROUND(((EV48*1.15)),6)</f>
        <v>681.85799999999995</v>
      </c>
      <c r="AG48" s="2">
        <f t="shared" si="28"/>
        <v>0</v>
      </c>
      <c r="AH48" s="2">
        <f>((EW48*1.15))</f>
        <v>111.78</v>
      </c>
      <c r="AI48" s="2">
        <f>((EX48*1.25))</f>
        <v>0</v>
      </c>
      <c r="AJ48" s="2">
        <f t="shared" si="30"/>
        <v>0</v>
      </c>
      <c r="AK48" s="2">
        <v>592.91999999999996</v>
      </c>
      <c r="AL48" s="2">
        <v>0</v>
      </c>
      <c r="AM48" s="2">
        <v>0</v>
      </c>
      <c r="AN48" s="2">
        <v>0</v>
      </c>
      <c r="AO48" s="2">
        <v>592.91999999999996</v>
      </c>
      <c r="AP48" s="2">
        <v>0</v>
      </c>
      <c r="AQ48" s="2">
        <v>97.2</v>
      </c>
      <c r="AR48" s="2">
        <v>0</v>
      </c>
      <c r="AS48" s="2">
        <v>0</v>
      </c>
      <c r="AT48" s="2">
        <v>80</v>
      </c>
      <c r="AU48" s="2">
        <v>38</v>
      </c>
      <c r="AV48" s="2">
        <v>1</v>
      </c>
      <c r="AW48" s="2">
        <v>1</v>
      </c>
      <c r="AX48" s="2"/>
      <c r="AY48" s="2"/>
      <c r="AZ48" s="2">
        <v>1</v>
      </c>
      <c r="BA48" s="2">
        <v>1</v>
      </c>
      <c r="BB48" s="2">
        <v>1</v>
      </c>
      <c r="BC48" s="2">
        <v>1</v>
      </c>
      <c r="BD48" s="2" t="s">
        <v>3</v>
      </c>
      <c r="BE48" s="2" t="s">
        <v>3</v>
      </c>
      <c r="BF48" s="2" t="s">
        <v>3</v>
      </c>
      <c r="BG48" s="2" t="s">
        <v>3</v>
      </c>
      <c r="BH48" s="2">
        <v>0</v>
      </c>
      <c r="BI48" s="2">
        <v>1</v>
      </c>
      <c r="BJ48" s="2" t="s">
        <v>93</v>
      </c>
      <c r="BK48" s="2"/>
      <c r="BL48" s="2"/>
      <c r="BM48" s="2">
        <v>1003</v>
      </c>
      <c r="BN48" s="2">
        <v>0</v>
      </c>
      <c r="BO48" s="2" t="s">
        <v>3</v>
      </c>
      <c r="BP48" s="2">
        <v>0</v>
      </c>
      <c r="BQ48" s="2">
        <v>2</v>
      </c>
      <c r="BR48" s="2">
        <v>0</v>
      </c>
      <c r="BS48" s="2">
        <v>1</v>
      </c>
      <c r="BT48" s="2">
        <v>1</v>
      </c>
      <c r="BU48" s="2">
        <v>1</v>
      </c>
      <c r="BV48" s="2">
        <v>1</v>
      </c>
      <c r="BW48" s="2">
        <v>1</v>
      </c>
      <c r="BX48" s="2">
        <v>1</v>
      </c>
      <c r="BY48" s="2" t="s">
        <v>3</v>
      </c>
      <c r="BZ48" s="2">
        <v>80</v>
      </c>
      <c r="CA48" s="2">
        <v>45</v>
      </c>
      <c r="CB48" s="2"/>
      <c r="CC48" s="2"/>
      <c r="CD48" s="2"/>
      <c r="CE48" s="2"/>
      <c r="CF48" s="2">
        <v>0</v>
      </c>
      <c r="CG48" s="2">
        <v>0</v>
      </c>
      <c r="CH48" s="2"/>
      <c r="CI48" s="2"/>
      <c r="CJ48" s="2"/>
      <c r="CK48" s="2"/>
      <c r="CL48" s="2"/>
      <c r="CM48" s="2">
        <v>0</v>
      </c>
      <c r="CN48" s="2" t="s">
        <v>3</v>
      </c>
      <c r="CO48" s="2">
        <v>0</v>
      </c>
      <c r="CP48" s="2">
        <f t="shared" si="31"/>
        <v>13.64</v>
      </c>
      <c r="CQ48" s="2">
        <f t="shared" si="32"/>
        <v>0</v>
      </c>
      <c r="CR48" s="2">
        <f t="shared" si="33"/>
        <v>0</v>
      </c>
      <c r="CS48" s="2">
        <f t="shared" si="34"/>
        <v>0</v>
      </c>
      <c r="CT48" s="2">
        <f t="shared" si="35"/>
        <v>681.85799999999995</v>
      </c>
      <c r="CU48" s="2">
        <f t="shared" si="36"/>
        <v>0</v>
      </c>
      <c r="CV48" s="2">
        <f t="shared" si="37"/>
        <v>111.78</v>
      </c>
      <c r="CW48" s="2">
        <f t="shared" si="38"/>
        <v>0</v>
      </c>
      <c r="CX48" s="2">
        <f t="shared" si="39"/>
        <v>0</v>
      </c>
      <c r="CY48" s="2">
        <f t="shared" si="40"/>
        <v>10.912000000000001</v>
      </c>
      <c r="CZ48" s="2">
        <f t="shared" si="41"/>
        <v>5.1832000000000003</v>
      </c>
      <c r="DA48" s="2"/>
      <c r="DB48" s="2"/>
      <c r="DC48" s="2" t="s">
        <v>3</v>
      </c>
      <c r="DD48" s="2" t="s">
        <v>3</v>
      </c>
      <c r="DE48" s="2" t="s">
        <v>62</v>
      </c>
      <c r="DF48" s="2" t="s">
        <v>62</v>
      </c>
      <c r="DG48" s="2" t="s">
        <v>63</v>
      </c>
      <c r="DH48" s="2" t="s">
        <v>3</v>
      </c>
      <c r="DI48" s="2" t="s">
        <v>63</v>
      </c>
      <c r="DJ48" s="2" t="s">
        <v>62</v>
      </c>
      <c r="DK48" s="2" t="s">
        <v>3</v>
      </c>
      <c r="DL48" s="2" t="s">
        <v>3</v>
      </c>
      <c r="DM48" s="2" t="s">
        <v>3</v>
      </c>
      <c r="DN48" s="2">
        <v>0</v>
      </c>
      <c r="DO48" s="2">
        <v>0</v>
      </c>
      <c r="DP48" s="2">
        <v>1</v>
      </c>
      <c r="DQ48" s="2">
        <v>1</v>
      </c>
      <c r="DR48" s="2"/>
      <c r="DS48" s="2"/>
      <c r="DT48" s="2"/>
      <c r="DU48" s="2">
        <v>1013</v>
      </c>
      <c r="DV48" s="2" t="s">
        <v>92</v>
      </c>
      <c r="DW48" s="2" t="s">
        <v>92</v>
      </c>
      <c r="DX48" s="2">
        <v>1</v>
      </c>
      <c r="DY48" s="2"/>
      <c r="DZ48" s="2"/>
      <c r="EA48" s="2"/>
      <c r="EB48" s="2"/>
      <c r="EC48" s="2"/>
      <c r="ED48" s="2"/>
      <c r="EE48" s="2">
        <v>24085335</v>
      </c>
      <c r="EF48" s="2">
        <v>2</v>
      </c>
      <c r="EG48" s="2" t="s">
        <v>33</v>
      </c>
      <c r="EH48" s="2">
        <v>0</v>
      </c>
      <c r="EI48" s="2" t="s">
        <v>3</v>
      </c>
      <c r="EJ48" s="2">
        <v>1</v>
      </c>
      <c r="EK48" s="2">
        <v>1003</v>
      </c>
      <c r="EL48" s="2" t="s">
        <v>94</v>
      </c>
      <c r="EM48" s="2" t="s">
        <v>35</v>
      </c>
      <c r="EN48" s="2"/>
      <c r="EO48" s="2" t="s">
        <v>3</v>
      </c>
      <c r="EP48" s="2"/>
      <c r="EQ48" s="2">
        <v>0</v>
      </c>
      <c r="ER48" s="2">
        <v>592.91999999999996</v>
      </c>
      <c r="ES48" s="2">
        <v>0</v>
      </c>
      <c r="ET48" s="2">
        <v>0</v>
      </c>
      <c r="EU48" s="2">
        <v>0</v>
      </c>
      <c r="EV48" s="2">
        <v>592.91999999999996</v>
      </c>
      <c r="EW48" s="2">
        <v>97.2</v>
      </c>
      <c r="EX48" s="2">
        <v>0</v>
      </c>
      <c r="EY48" s="2">
        <v>0</v>
      </c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>
        <v>0</v>
      </c>
      <c r="FR48" s="2">
        <f t="shared" si="42"/>
        <v>0</v>
      </c>
      <c r="FS48" s="2">
        <v>0</v>
      </c>
      <c r="FT48" s="2"/>
      <c r="FU48" s="2" t="s">
        <v>21</v>
      </c>
      <c r="FV48" s="2"/>
      <c r="FW48" s="2"/>
      <c r="FX48" s="2">
        <v>80</v>
      </c>
      <c r="FY48" s="2">
        <v>38.25</v>
      </c>
      <c r="FZ48" s="2"/>
      <c r="GA48" s="2" t="s">
        <v>3</v>
      </c>
      <c r="GB48" s="2"/>
      <c r="GC48" s="2"/>
      <c r="GD48" s="2">
        <v>0</v>
      </c>
      <c r="GE48" s="2"/>
      <c r="GF48" s="2">
        <v>-1617649481</v>
      </c>
      <c r="GG48" s="2">
        <v>2</v>
      </c>
      <c r="GH48" s="2">
        <v>1</v>
      </c>
      <c r="GI48" s="2">
        <v>-2</v>
      </c>
      <c r="GJ48" s="2">
        <v>0</v>
      </c>
      <c r="GK48" s="2">
        <f>ROUND(R48*(R12)/100,2)</f>
        <v>0</v>
      </c>
      <c r="GL48" s="2">
        <f t="shared" si="43"/>
        <v>0</v>
      </c>
      <c r="GM48" s="2">
        <f t="shared" si="44"/>
        <v>29.73</v>
      </c>
      <c r="GN48" s="2">
        <f t="shared" si="45"/>
        <v>29.73</v>
      </c>
      <c r="GO48" s="2">
        <f t="shared" si="46"/>
        <v>0</v>
      </c>
      <c r="GP48" s="2">
        <f t="shared" si="47"/>
        <v>0</v>
      </c>
      <c r="GQ48" s="2"/>
      <c r="GR48" s="2">
        <v>0</v>
      </c>
      <c r="GS48" s="2">
        <v>3</v>
      </c>
      <c r="GT48" s="2">
        <v>0</v>
      </c>
      <c r="GU48" s="2" t="s">
        <v>3</v>
      </c>
      <c r="GV48" s="2">
        <f t="shared" si="48"/>
        <v>0</v>
      </c>
      <c r="GW48" s="2">
        <v>1</v>
      </c>
      <c r="GX48" s="2">
        <f t="shared" si="49"/>
        <v>0</v>
      </c>
      <c r="GY48" s="2"/>
      <c r="GZ48" s="2"/>
      <c r="HA48" s="2">
        <v>0</v>
      </c>
      <c r="HB48" s="2">
        <v>0</v>
      </c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>
        <v>0</v>
      </c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>
      <c r="A49">
        <v>17</v>
      </c>
      <c r="B49">
        <v>1</v>
      </c>
      <c r="C49">
        <f>ROW(SmtRes!A84)</f>
        <v>84</v>
      </c>
      <c r="D49">
        <f>ROW(EtalonRes!A84)</f>
        <v>84</v>
      </c>
      <c r="E49" t="s">
        <v>89</v>
      </c>
      <c r="F49" t="s">
        <v>90</v>
      </c>
      <c r="G49" t="s">
        <v>91</v>
      </c>
      <c r="H49" t="s">
        <v>92</v>
      </c>
      <c r="I49">
        <f>ROUND(2/100,9)</f>
        <v>0.02</v>
      </c>
      <c r="J49">
        <v>0</v>
      </c>
      <c r="O49">
        <f t="shared" si="14"/>
        <v>224.19</v>
      </c>
      <c r="P49">
        <f t="shared" si="15"/>
        <v>0</v>
      </c>
      <c r="Q49">
        <f t="shared" si="16"/>
        <v>0</v>
      </c>
      <c r="R49">
        <f t="shared" si="17"/>
        <v>0</v>
      </c>
      <c r="S49">
        <f t="shared" si="18"/>
        <v>224.19</v>
      </c>
      <c r="T49">
        <f t="shared" si="19"/>
        <v>0</v>
      </c>
      <c r="U49">
        <f t="shared" si="20"/>
        <v>2.2356000000000003</v>
      </c>
      <c r="V49">
        <f t="shared" si="21"/>
        <v>0</v>
      </c>
      <c r="W49">
        <f t="shared" si="22"/>
        <v>0</v>
      </c>
      <c r="X49">
        <f t="shared" si="23"/>
        <v>152.44999999999999</v>
      </c>
      <c r="Y49">
        <f t="shared" si="24"/>
        <v>69.5</v>
      </c>
      <c r="AA49">
        <v>34847877</v>
      </c>
      <c r="AB49">
        <f t="shared" si="25"/>
        <v>681.85799999999995</v>
      </c>
      <c r="AC49">
        <f t="shared" si="26"/>
        <v>0</v>
      </c>
      <c r="AD49">
        <f>ROUND(((((ET49*1.25))-((EU49*1.25)))+AE49),6)</f>
        <v>0</v>
      </c>
      <c r="AE49">
        <f>ROUND(((EU49*1.25)),6)</f>
        <v>0</v>
      </c>
      <c r="AF49">
        <f>ROUND(((EV49*1.15)),6)</f>
        <v>681.85799999999995</v>
      </c>
      <c r="AG49">
        <f t="shared" si="28"/>
        <v>0</v>
      </c>
      <c r="AH49">
        <f>((EW49*1.15))</f>
        <v>111.78</v>
      </c>
      <c r="AI49">
        <f>((EX49*1.25))</f>
        <v>0</v>
      </c>
      <c r="AJ49">
        <f t="shared" si="30"/>
        <v>0</v>
      </c>
      <c r="AK49">
        <v>592.91999999999996</v>
      </c>
      <c r="AL49">
        <v>0</v>
      </c>
      <c r="AM49">
        <v>0</v>
      </c>
      <c r="AN49">
        <v>0</v>
      </c>
      <c r="AO49">
        <v>592.91999999999996</v>
      </c>
      <c r="AP49">
        <v>0</v>
      </c>
      <c r="AQ49">
        <v>97.2</v>
      </c>
      <c r="AR49">
        <v>0</v>
      </c>
      <c r="AS49">
        <v>0</v>
      </c>
      <c r="AT49">
        <v>68</v>
      </c>
      <c r="AU49">
        <v>31</v>
      </c>
      <c r="AV49">
        <v>1</v>
      </c>
      <c r="AW49">
        <v>1</v>
      </c>
      <c r="AZ49">
        <v>1</v>
      </c>
      <c r="BA49">
        <v>16.440000000000001</v>
      </c>
      <c r="BB49">
        <v>6.21</v>
      </c>
      <c r="BC49">
        <v>5.9</v>
      </c>
      <c r="BD49" t="s">
        <v>3</v>
      </c>
      <c r="BE49" t="s">
        <v>3</v>
      </c>
      <c r="BF49" t="s">
        <v>3</v>
      </c>
      <c r="BG49" t="s">
        <v>3</v>
      </c>
      <c r="BH49">
        <v>0</v>
      </c>
      <c r="BI49">
        <v>1</v>
      </c>
      <c r="BJ49" t="s">
        <v>93</v>
      </c>
      <c r="BM49">
        <v>1003</v>
      </c>
      <c r="BN49">
        <v>0</v>
      </c>
      <c r="BO49" t="s">
        <v>3</v>
      </c>
      <c r="BP49">
        <v>0</v>
      </c>
      <c r="BQ49">
        <v>2</v>
      </c>
      <c r="BR49">
        <v>0</v>
      </c>
      <c r="BS49">
        <v>16.440000000000001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80</v>
      </c>
      <c r="CA49">
        <v>45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31"/>
        <v>224.19</v>
      </c>
      <c r="CQ49">
        <f t="shared" si="32"/>
        <v>0</v>
      </c>
      <c r="CR49">
        <f t="shared" si="33"/>
        <v>0</v>
      </c>
      <c r="CS49">
        <f t="shared" si="34"/>
        <v>0</v>
      </c>
      <c r="CT49">
        <f t="shared" si="35"/>
        <v>11209.74552</v>
      </c>
      <c r="CU49">
        <f t="shared" si="36"/>
        <v>0</v>
      </c>
      <c r="CV49">
        <f t="shared" si="37"/>
        <v>111.78</v>
      </c>
      <c r="CW49">
        <f t="shared" si="38"/>
        <v>0</v>
      </c>
      <c r="CX49">
        <f t="shared" si="39"/>
        <v>0</v>
      </c>
      <c r="CY49">
        <f t="shared" si="40"/>
        <v>152.44919999999999</v>
      </c>
      <c r="CZ49">
        <f t="shared" si="41"/>
        <v>69.498900000000006</v>
      </c>
      <c r="DC49" t="s">
        <v>3</v>
      </c>
      <c r="DD49" t="s">
        <v>3</v>
      </c>
      <c r="DE49" t="s">
        <v>62</v>
      </c>
      <c r="DF49" t="s">
        <v>62</v>
      </c>
      <c r="DG49" t="s">
        <v>63</v>
      </c>
      <c r="DH49" t="s">
        <v>3</v>
      </c>
      <c r="DI49" t="s">
        <v>63</v>
      </c>
      <c r="DJ49" t="s">
        <v>62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1013</v>
      </c>
      <c r="DV49" t="s">
        <v>92</v>
      </c>
      <c r="DW49" t="s">
        <v>92</v>
      </c>
      <c r="DX49">
        <v>1</v>
      </c>
      <c r="EE49">
        <v>24085335</v>
      </c>
      <c r="EF49">
        <v>2</v>
      </c>
      <c r="EG49" t="s">
        <v>33</v>
      </c>
      <c r="EH49">
        <v>0</v>
      </c>
      <c r="EI49" t="s">
        <v>3</v>
      </c>
      <c r="EJ49">
        <v>1</v>
      </c>
      <c r="EK49">
        <v>1003</v>
      </c>
      <c r="EL49" t="s">
        <v>94</v>
      </c>
      <c r="EM49" t="s">
        <v>35</v>
      </c>
      <c r="EO49" t="s">
        <v>3</v>
      </c>
      <c r="EQ49">
        <v>0</v>
      </c>
      <c r="ER49">
        <v>592.91999999999996</v>
      </c>
      <c r="ES49">
        <v>0</v>
      </c>
      <c r="ET49">
        <v>0</v>
      </c>
      <c r="EU49">
        <v>0</v>
      </c>
      <c r="EV49">
        <v>592.91999999999996</v>
      </c>
      <c r="EW49">
        <v>97.2</v>
      </c>
      <c r="EX49">
        <v>0</v>
      </c>
      <c r="EY49">
        <v>0</v>
      </c>
      <c r="FQ49">
        <v>0</v>
      </c>
      <c r="FR49">
        <f t="shared" si="42"/>
        <v>0</v>
      </c>
      <c r="FS49">
        <v>0</v>
      </c>
      <c r="FU49" t="s">
        <v>21</v>
      </c>
      <c r="FV49" t="s">
        <v>21</v>
      </c>
      <c r="FW49" t="s">
        <v>22</v>
      </c>
      <c r="FX49">
        <v>80</v>
      </c>
      <c r="FY49">
        <v>38.25</v>
      </c>
      <c r="GA49" t="s">
        <v>3</v>
      </c>
      <c r="GD49">
        <v>0</v>
      </c>
      <c r="GF49">
        <v>-1617649481</v>
      </c>
      <c r="GG49">
        <v>2</v>
      </c>
      <c r="GH49">
        <v>1</v>
      </c>
      <c r="GI49">
        <v>4</v>
      </c>
      <c r="GJ49">
        <v>0</v>
      </c>
      <c r="GK49">
        <f>ROUND(R49*(S12)/100,2)</f>
        <v>0</v>
      </c>
      <c r="GL49">
        <f t="shared" si="43"/>
        <v>0</v>
      </c>
      <c r="GM49">
        <f t="shared" si="44"/>
        <v>446.14</v>
      </c>
      <c r="GN49">
        <f t="shared" si="45"/>
        <v>446.14</v>
      </c>
      <c r="GO49">
        <f t="shared" si="46"/>
        <v>0</v>
      </c>
      <c r="GP49">
        <f t="shared" si="47"/>
        <v>0</v>
      </c>
      <c r="GR49">
        <v>0</v>
      </c>
      <c r="GS49">
        <v>3</v>
      </c>
      <c r="GT49">
        <v>0</v>
      </c>
      <c r="GU49" t="s">
        <v>3</v>
      </c>
      <c r="GV49">
        <f t="shared" si="48"/>
        <v>0</v>
      </c>
      <c r="GW49">
        <v>1</v>
      </c>
      <c r="GX49">
        <f t="shared" si="49"/>
        <v>0</v>
      </c>
      <c r="HA49">
        <v>0</v>
      </c>
      <c r="HB49">
        <v>0</v>
      </c>
      <c r="IK49">
        <v>0</v>
      </c>
    </row>
    <row r="50" spans="1:255">
      <c r="A50" s="2">
        <v>17</v>
      </c>
      <c r="B50" s="2">
        <v>1</v>
      </c>
      <c r="C50" s="2">
        <f>ROW(SmtRes!A94)</f>
        <v>94</v>
      </c>
      <c r="D50" s="2">
        <f>ROW(EtalonRes!A93)</f>
        <v>93</v>
      </c>
      <c r="E50" s="2" t="s">
        <v>95</v>
      </c>
      <c r="F50" s="2" t="s">
        <v>96</v>
      </c>
      <c r="G50" s="2" t="s">
        <v>97</v>
      </c>
      <c r="H50" s="2" t="s">
        <v>98</v>
      </c>
      <c r="I50" s="2">
        <f>ROUND(485.15/100,9)</f>
        <v>4.8514999999999997</v>
      </c>
      <c r="J50" s="2">
        <v>0</v>
      </c>
      <c r="K50" s="2"/>
      <c r="L50" s="2"/>
      <c r="M50" s="2"/>
      <c r="N50" s="2"/>
      <c r="O50" s="2">
        <f t="shared" si="14"/>
        <v>42036.74</v>
      </c>
      <c r="P50" s="2">
        <f t="shared" si="15"/>
        <v>38019.800000000003</v>
      </c>
      <c r="Q50" s="2">
        <f t="shared" si="16"/>
        <v>2443.8200000000002</v>
      </c>
      <c r="R50" s="2">
        <f t="shared" si="17"/>
        <v>33.6</v>
      </c>
      <c r="S50" s="2">
        <f t="shared" si="18"/>
        <v>1573.12</v>
      </c>
      <c r="T50" s="2">
        <f t="shared" si="19"/>
        <v>0</v>
      </c>
      <c r="U50" s="2">
        <f t="shared" si="20"/>
        <v>236.55913999999999</v>
      </c>
      <c r="V50" s="2">
        <f t="shared" si="21"/>
        <v>2.5470375000000001</v>
      </c>
      <c r="W50" s="2">
        <f t="shared" si="22"/>
        <v>0</v>
      </c>
      <c r="X50" s="2">
        <f t="shared" si="23"/>
        <v>2281.54</v>
      </c>
      <c r="Y50" s="2">
        <f t="shared" si="24"/>
        <v>1301.44</v>
      </c>
      <c r="Z50" s="2"/>
      <c r="AA50" s="2">
        <v>34847864</v>
      </c>
      <c r="AB50" s="2">
        <f t="shared" si="25"/>
        <v>8664.6890000000003</v>
      </c>
      <c r="AC50" s="2">
        <f t="shared" si="26"/>
        <v>7836.71</v>
      </c>
      <c r="AD50" s="2">
        <f>ROUND(((((ET50*1.25))-((EU50*1.25)))+AE50),6)</f>
        <v>503.72500000000002</v>
      </c>
      <c r="AE50" s="2">
        <f>ROUND(((EU50*1.25)),6)</f>
        <v>6.9249999999999998</v>
      </c>
      <c r="AF50" s="2">
        <f>ROUND(((EV50*1.15)),6)</f>
        <v>324.25400000000002</v>
      </c>
      <c r="AG50" s="2">
        <f t="shared" si="28"/>
        <v>0</v>
      </c>
      <c r="AH50" s="2">
        <f>((EW50*1.15))</f>
        <v>48.76</v>
      </c>
      <c r="AI50" s="2">
        <f>((EX50*1.25))</f>
        <v>0.52500000000000002</v>
      </c>
      <c r="AJ50" s="2">
        <f t="shared" si="30"/>
        <v>0</v>
      </c>
      <c r="AK50" s="2">
        <v>8521.65</v>
      </c>
      <c r="AL50" s="2">
        <v>7836.71</v>
      </c>
      <c r="AM50" s="2">
        <v>402.98</v>
      </c>
      <c r="AN50" s="2">
        <v>5.54</v>
      </c>
      <c r="AO50" s="2">
        <v>281.95999999999998</v>
      </c>
      <c r="AP50" s="2">
        <v>0</v>
      </c>
      <c r="AQ50" s="2">
        <v>42.4</v>
      </c>
      <c r="AR50" s="2">
        <v>0.42</v>
      </c>
      <c r="AS50" s="2">
        <v>0</v>
      </c>
      <c r="AT50" s="2">
        <v>142</v>
      </c>
      <c r="AU50" s="2">
        <v>81</v>
      </c>
      <c r="AV50" s="2">
        <v>1</v>
      </c>
      <c r="AW50" s="2">
        <v>1</v>
      </c>
      <c r="AX50" s="2"/>
      <c r="AY50" s="2"/>
      <c r="AZ50" s="2">
        <v>1</v>
      </c>
      <c r="BA50" s="2">
        <v>1</v>
      </c>
      <c r="BB50" s="2">
        <v>1</v>
      </c>
      <c r="BC50" s="2">
        <v>1</v>
      </c>
      <c r="BD50" s="2" t="s">
        <v>3</v>
      </c>
      <c r="BE50" s="2" t="s">
        <v>3</v>
      </c>
      <c r="BF50" s="2" t="s">
        <v>3</v>
      </c>
      <c r="BG50" s="2" t="s">
        <v>3</v>
      </c>
      <c r="BH50" s="2">
        <v>0</v>
      </c>
      <c r="BI50" s="2">
        <v>1</v>
      </c>
      <c r="BJ50" s="2" t="s">
        <v>99</v>
      </c>
      <c r="BK50" s="2"/>
      <c r="BL50" s="2"/>
      <c r="BM50" s="2">
        <v>27001</v>
      </c>
      <c r="BN50" s="2">
        <v>0</v>
      </c>
      <c r="BO50" s="2" t="s">
        <v>3</v>
      </c>
      <c r="BP50" s="2">
        <v>0</v>
      </c>
      <c r="BQ50" s="2">
        <v>2</v>
      </c>
      <c r="BR50" s="2">
        <v>0</v>
      </c>
      <c r="BS50" s="2">
        <v>1</v>
      </c>
      <c r="BT50" s="2">
        <v>1</v>
      </c>
      <c r="BU50" s="2">
        <v>1</v>
      </c>
      <c r="BV50" s="2">
        <v>1</v>
      </c>
      <c r="BW50" s="2">
        <v>1</v>
      </c>
      <c r="BX50" s="2">
        <v>1</v>
      </c>
      <c r="BY50" s="2" t="s">
        <v>3</v>
      </c>
      <c r="BZ50" s="2">
        <v>142</v>
      </c>
      <c r="CA50" s="2">
        <v>95</v>
      </c>
      <c r="CB50" s="2"/>
      <c r="CC50" s="2"/>
      <c r="CD50" s="2"/>
      <c r="CE50" s="2"/>
      <c r="CF50" s="2">
        <v>0</v>
      </c>
      <c r="CG50" s="2">
        <v>0</v>
      </c>
      <c r="CH50" s="2"/>
      <c r="CI50" s="2"/>
      <c r="CJ50" s="2"/>
      <c r="CK50" s="2"/>
      <c r="CL50" s="2"/>
      <c r="CM50" s="2">
        <v>0</v>
      </c>
      <c r="CN50" s="2" t="s">
        <v>3</v>
      </c>
      <c r="CO50" s="2">
        <v>0</v>
      </c>
      <c r="CP50" s="2">
        <f t="shared" si="31"/>
        <v>42036.740000000005</v>
      </c>
      <c r="CQ50" s="2">
        <f t="shared" si="32"/>
        <v>7836.71</v>
      </c>
      <c r="CR50" s="2">
        <f t="shared" si="33"/>
        <v>503.72500000000002</v>
      </c>
      <c r="CS50" s="2">
        <f t="shared" si="34"/>
        <v>6.9249999999999998</v>
      </c>
      <c r="CT50" s="2">
        <f t="shared" si="35"/>
        <v>324.25400000000002</v>
      </c>
      <c r="CU50" s="2">
        <f t="shared" si="36"/>
        <v>0</v>
      </c>
      <c r="CV50" s="2">
        <f t="shared" si="37"/>
        <v>48.76</v>
      </c>
      <c r="CW50" s="2">
        <f t="shared" si="38"/>
        <v>0.52500000000000002</v>
      </c>
      <c r="CX50" s="2">
        <f t="shared" si="39"/>
        <v>0</v>
      </c>
      <c r="CY50" s="2">
        <f t="shared" si="40"/>
        <v>2281.5423999999998</v>
      </c>
      <c r="CZ50" s="2">
        <f t="shared" si="41"/>
        <v>1301.4431999999997</v>
      </c>
      <c r="DA50" s="2"/>
      <c r="DB50" s="2"/>
      <c r="DC50" s="2" t="s">
        <v>3</v>
      </c>
      <c r="DD50" s="2" t="s">
        <v>3</v>
      </c>
      <c r="DE50" s="2" t="s">
        <v>62</v>
      </c>
      <c r="DF50" s="2" t="s">
        <v>62</v>
      </c>
      <c r="DG50" s="2" t="s">
        <v>63</v>
      </c>
      <c r="DH50" s="2" t="s">
        <v>3</v>
      </c>
      <c r="DI50" s="2" t="s">
        <v>63</v>
      </c>
      <c r="DJ50" s="2" t="s">
        <v>62</v>
      </c>
      <c r="DK50" s="2" t="s">
        <v>3</v>
      </c>
      <c r="DL50" s="2" t="s">
        <v>3</v>
      </c>
      <c r="DM50" s="2" t="s">
        <v>3</v>
      </c>
      <c r="DN50" s="2">
        <v>0</v>
      </c>
      <c r="DO50" s="2">
        <v>0</v>
      </c>
      <c r="DP50" s="2">
        <v>1</v>
      </c>
      <c r="DQ50" s="2">
        <v>1</v>
      </c>
      <c r="DR50" s="2"/>
      <c r="DS50" s="2"/>
      <c r="DT50" s="2"/>
      <c r="DU50" s="2">
        <v>1013</v>
      </c>
      <c r="DV50" s="2" t="s">
        <v>98</v>
      </c>
      <c r="DW50" s="2" t="s">
        <v>98</v>
      </c>
      <c r="DX50" s="2">
        <v>1</v>
      </c>
      <c r="DY50" s="2"/>
      <c r="DZ50" s="2"/>
      <c r="EA50" s="2"/>
      <c r="EB50" s="2"/>
      <c r="EC50" s="2"/>
      <c r="ED50" s="2"/>
      <c r="EE50" s="2">
        <v>24085400</v>
      </c>
      <c r="EF50" s="2">
        <v>2</v>
      </c>
      <c r="EG50" s="2" t="s">
        <v>33</v>
      </c>
      <c r="EH50" s="2">
        <v>0</v>
      </c>
      <c r="EI50" s="2" t="s">
        <v>3</v>
      </c>
      <c r="EJ50" s="2">
        <v>1</v>
      </c>
      <c r="EK50" s="2">
        <v>27001</v>
      </c>
      <c r="EL50" s="2" t="s">
        <v>64</v>
      </c>
      <c r="EM50" s="2" t="s">
        <v>65</v>
      </c>
      <c r="EN50" s="2"/>
      <c r="EO50" s="2" t="s">
        <v>3</v>
      </c>
      <c r="EP50" s="2"/>
      <c r="EQ50" s="2">
        <v>0</v>
      </c>
      <c r="ER50" s="2">
        <v>8521.65</v>
      </c>
      <c r="ES50" s="2">
        <v>7836.71</v>
      </c>
      <c r="ET50" s="2">
        <v>402.98</v>
      </c>
      <c r="EU50" s="2">
        <v>5.54</v>
      </c>
      <c r="EV50" s="2">
        <v>281.95999999999998</v>
      </c>
      <c r="EW50" s="2">
        <v>42.4</v>
      </c>
      <c r="EX50" s="2">
        <v>0.42</v>
      </c>
      <c r="EY50" s="2">
        <v>0</v>
      </c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>
        <v>0</v>
      </c>
      <c r="FR50" s="2">
        <f t="shared" si="42"/>
        <v>0</v>
      </c>
      <c r="FS50" s="2">
        <v>0</v>
      </c>
      <c r="FT50" s="2"/>
      <c r="FU50" s="2" t="s">
        <v>21</v>
      </c>
      <c r="FV50" s="2"/>
      <c r="FW50" s="2"/>
      <c r="FX50" s="2">
        <v>142</v>
      </c>
      <c r="FY50" s="2">
        <v>80.75</v>
      </c>
      <c r="FZ50" s="2"/>
      <c r="GA50" s="2" t="s">
        <v>3</v>
      </c>
      <c r="GB50" s="2"/>
      <c r="GC50" s="2"/>
      <c r="GD50" s="2">
        <v>0</v>
      </c>
      <c r="GE50" s="2"/>
      <c r="GF50" s="2">
        <v>-1946746973</v>
      </c>
      <c r="GG50" s="2">
        <v>2</v>
      </c>
      <c r="GH50" s="2">
        <v>1</v>
      </c>
      <c r="GI50" s="2">
        <v>-2</v>
      </c>
      <c r="GJ50" s="2">
        <v>0</v>
      </c>
      <c r="GK50" s="2">
        <f>ROUND(R50*(R12)/100,2)</f>
        <v>0</v>
      </c>
      <c r="GL50" s="2">
        <f t="shared" si="43"/>
        <v>0</v>
      </c>
      <c r="GM50" s="2">
        <f t="shared" si="44"/>
        <v>45619.72</v>
      </c>
      <c r="GN50" s="2">
        <f t="shared" si="45"/>
        <v>45619.72</v>
      </c>
      <c r="GO50" s="2">
        <f t="shared" si="46"/>
        <v>0</v>
      </c>
      <c r="GP50" s="2">
        <f t="shared" si="47"/>
        <v>0</v>
      </c>
      <c r="GQ50" s="2"/>
      <c r="GR50" s="2">
        <v>0</v>
      </c>
      <c r="GS50" s="2">
        <v>3</v>
      </c>
      <c r="GT50" s="2">
        <v>0</v>
      </c>
      <c r="GU50" s="2" t="s">
        <v>3</v>
      </c>
      <c r="GV50" s="2">
        <f t="shared" si="48"/>
        <v>0</v>
      </c>
      <c r="GW50" s="2">
        <v>1</v>
      </c>
      <c r="GX50" s="2">
        <f t="shared" si="49"/>
        <v>0</v>
      </c>
      <c r="GY50" s="2"/>
      <c r="GZ50" s="2"/>
      <c r="HA50" s="2">
        <v>0</v>
      </c>
      <c r="HB50" s="2">
        <v>0</v>
      </c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>
        <v>0</v>
      </c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>
      <c r="A51">
        <v>17</v>
      </c>
      <c r="B51">
        <v>1</v>
      </c>
      <c r="C51">
        <f>ROW(SmtRes!A104)</f>
        <v>104</v>
      </c>
      <c r="D51">
        <f>ROW(EtalonRes!A102)</f>
        <v>102</v>
      </c>
      <c r="E51" t="s">
        <v>95</v>
      </c>
      <c r="F51" t="s">
        <v>96</v>
      </c>
      <c r="G51" t="s">
        <v>97</v>
      </c>
      <c r="H51" t="s">
        <v>98</v>
      </c>
      <c r="I51">
        <f>ROUND(485.15/100,9)</f>
        <v>4.8514999999999997</v>
      </c>
      <c r="J51">
        <v>0</v>
      </c>
      <c r="O51">
        <f t="shared" si="14"/>
        <v>265355</v>
      </c>
      <c r="P51">
        <f t="shared" si="15"/>
        <v>224316.81</v>
      </c>
      <c r="Q51">
        <f t="shared" si="16"/>
        <v>15176.13</v>
      </c>
      <c r="R51">
        <f t="shared" si="17"/>
        <v>552.33000000000004</v>
      </c>
      <c r="S51">
        <f t="shared" si="18"/>
        <v>25862.06</v>
      </c>
      <c r="T51">
        <f t="shared" si="19"/>
        <v>0</v>
      </c>
      <c r="U51">
        <f t="shared" si="20"/>
        <v>236.55913999999999</v>
      </c>
      <c r="V51">
        <f t="shared" si="21"/>
        <v>2.5470375000000001</v>
      </c>
      <c r="W51">
        <f t="shared" si="22"/>
        <v>0</v>
      </c>
      <c r="X51">
        <f t="shared" si="23"/>
        <v>31961.41</v>
      </c>
      <c r="Y51">
        <f t="shared" si="24"/>
        <v>17169.349999999999</v>
      </c>
      <c r="AA51">
        <v>34847877</v>
      </c>
      <c r="AB51">
        <f t="shared" si="25"/>
        <v>8664.6890000000003</v>
      </c>
      <c r="AC51">
        <f t="shared" si="26"/>
        <v>7836.71</v>
      </c>
      <c r="AD51">
        <f>ROUND(((((ET51*1.25))-((EU51*1.25)))+AE51),6)</f>
        <v>503.72500000000002</v>
      </c>
      <c r="AE51">
        <f>ROUND(((EU51*1.25)),6)</f>
        <v>6.9249999999999998</v>
      </c>
      <c r="AF51">
        <f>ROUND(((EV51*1.15)),6)</f>
        <v>324.25400000000002</v>
      </c>
      <c r="AG51">
        <f t="shared" si="28"/>
        <v>0</v>
      </c>
      <c r="AH51">
        <f>((EW51*1.15))</f>
        <v>48.76</v>
      </c>
      <c r="AI51">
        <f>((EX51*1.25))</f>
        <v>0.52500000000000002</v>
      </c>
      <c r="AJ51">
        <f t="shared" si="30"/>
        <v>0</v>
      </c>
      <c r="AK51">
        <v>8521.65</v>
      </c>
      <c r="AL51">
        <v>7836.71</v>
      </c>
      <c r="AM51">
        <v>402.98</v>
      </c>
      <c r="AN51">
        <v>5.54</v>
      </c>
      <c r="AO51">
        <v>281.95999999999998</v>
      </c>
      <c r="AP51">
        <v>0</v>
      </c>
      <c r="AQ51">
        <v>42.4</v>
      </c>
      <c r="AR51">
        <v>0.42</v>
      </c>
      <c r="AS51">
        <v>0</v>
      </c>
      <c r="AT51">
        <v>121</v>
      </c>
      <c r="AU51">
        <v>65</v>
      </c>
      <c r="AV51">
        <v>1</v>
      </c>
      <c r="AW51">
        <v>1</v>
      </c>
      <c r="AZ51">
        <v>1</v>
      </c>
      <c r="BA51">
        <v>16.440000000000001</v>
      </c>
      <c r="BB51">
        <v>6.21</v>
      </c>
      <c r="BC51">
        <v>5.9</v>
      </c>
      <c r="BD51" t="s">
        <v>3</v>
      </c>
      <c r="BE51" t="s">
        <v>3</v>
      </c>
      <c r="BF51" t="s">
        <v>3</v>
      </c>
      <c r="BG51" t="s">
        <v>3</v>
      </c>
      <c r="BH51">
        <v>0</v>
      </c>
      <c r="BI51">
        <v>1</v>
      </c>
      <c r="BJ51" t="s">
        <v>99</v>
      </c>
      <c r="BM51">
        <v>27001</v>
      </c>
      <c r="BN51">
        <v>0</v>
      </c>
      <c r="BO51" t="s">
        <v>3</v>
      </c>
      <c r="BP51">
        <v>0</v>
      </c>
      <c r="BQ51">
        <v>2</v>
      </c>
      <c r="BR51">
        <v>0</v>
      </c>
      <c r="BS51">
        <v>16.440000000000001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142</v>
      </c>
      <c r="CA51">
        <v>95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31"/>
        <v>265355</v>
      </c>
      <c r="CQ51">
        <f t="shared" si="32"/>
        <v>46236.589</v>
      </c>
      <c r="CR51">
        <f t="shared" si="33"/>
        <v>3128.1322500000001</v>
      </c>
      <c r="CS51">
        <f t="shared" si="34"/>
        <v>113.84700000000001</v>
      </c>
      <c r="CT51">
        <f t="shared" si="35"/>
        <v>5330.7357600000005</v>
      </c>
      <c r="CU51">
        <f t="shared" si="36"/>
        <v>0</v>
      </c>
      <c r="CV51">
        <f t="shared" si="37"/>
        <v>48.76</v>
      </c>
      <c r="CW51">
        <f t="shared" si="38"/>
        <v>0.52500000000000002</v>
      </c>
      <c r="CX51">
        <f t="shared" si="39"/>
        <v>0</v>
      </c>
      <c r="CY51">
        <f t="shared" si="40"/>
        <v>31961.411900000003</v>
      </c>
      <c r="CZ51">
        <f t="shared" si="41"/>
        <v>17169.353500000001</v>
      </c>
      <c r="DC51" t="s">
        <v>3</v>
      </c>
      <c r="DD51" t="s">
        <v>3</v>
      </c>
      <c r="DE51" t="s">
        <v>62</v>
      </c>
      <c r="DF51" t="s">
        <v>62</v>
      </c>
      <c r="DG51" t="s">
        <v>63</v>
      </c>
      <c r="DH51" t="s">
        <v>3</v>
      </c>
      <c r="DI51" t="s">
        <v>63</v>
      </c>
      <c r="DJ51" t="s">
        <v>62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1013</v>
      </c>
      <c r="DV51" t="s">
        <v>98</v>
      </c>
      <c r="DW51" t="s">
        <v>98</v>
      </c>
      <c r="DX51">
        <v>1</v>
      </c>
      <c r="EE51">
        <v>24085400</v>
      </c>
      <c r="EF51">
        <v>2</v>
      </c>
      <c r="EG51" t="s">
        <v>33</v>
      </c>
      <c r="EH51">
        <v>0</v>
      </c>
      <c r="EI51" t="s">
        <v>3</v>
      </c>
      <c r="EJ51">
        <v>1</v>
      </c>
      <c r="EK51">
        <v>27001</v>
      </c>
      <c r="EL51" t="s">
        <v>64</v>
      </c>
      <c r="EM51" t="s">
        <v>65</v>
      </c>
      <c r="EO51" t="s">
        <v>3</v>
      </c>
      <c r="EQ51">
        <v>0</v>
      </c>
      <c r="ER51">
        <v>8521.65</v>
      </c>
      <c r="ES51">
        <v>7836.71</v>
      </c>
      <c r="ET51">
        <v>402.98</v>
      </c>
      <c r="EU51">
        <v>5.54</v>
      </c>
      <c r="EV51">
        <v>281.95999999999998</v>
      </c>
      <c r="EW51">
        <v>42.4</v>
      </c>
      <c r="EX51">
        <v>0.42</v>
      </c>
      <c r="EY51">
        <v>0</v>
      </c>
      <c r="FQ51">
        <v>0</v>
      </c>
      <c r="FR51">
        <f t="shared" si="42"/>
        <v>0</v>
      </c>
      <c r="FS51">
        <v>0</v>
      </c>
      <c r="FU51" t="s">
        <v>21</v>
      </c>
      <c r="FV51" t="s">
        <v>21</v>
      </c>
      <c r="FW51" t="s">
        <v>22</v>
      </c>
      <c r="FX51">
        <v>142</v>
      </c>
      <c r="FY51">
        <v>80.75</v>
      </c>
      <c r="GA51" t="s">
        <v>3</v>
      </c>
      <c r="GD51">
        <v>0</v>
      </c>
      <c r="GF51">
        <v>-1946746973</v>
      </c>
      <c r="GG51">
        <v>2</v>
      </c>
      <c r="GH51">
        <v>1</v>
      </c>
      <c r="GI51">
        <v>4</v>
      </c>
      <c r="GJ51">
        <v>0</v>
      </c>
      <c r="GK51">
        <f>ROUND(R51*(S12)/100,2)</f>
        <v>0</v>
      </c>
      <c r="GL51">
        <f t="shared" si="43"/>
        <v>0</v>
      </c>
      <c r="GM51">
        <f t="shared" si="44"/>
        <v>314485.76000000001</v>
      </c>
      <c r="GN51">
        <f t="shared" si="45"/>
        <v>314485.76000000001</v>
      </c>
      <c r="GO51">
        <f t="shared" si="46"/>
        <v>0</v>
      </c>
      <c r="GP51">
        <f t="shared" si="47"/>
        <v>0</v>
      </c>
      <c r="GR51">
        <v>0</v>
      </c>
      <c r="GS51">
        <v>3</v>
      </c>
      <c r="GT51">
        <v>0</v>
      </c>
      <c r="GU51" t="s">
        <v>3</v>
      </c>
      <c r="GV51">
        <f t="shared" si="48"/>
        <v>0</v>
      </c>
      <c r="GW51">
        <v>1</v>
      </c>
      <c r="GX51">
        <f t="shared" si="49"/>
        <v>0</v>
      </c>
      <c r="HA51">
        <v>0</v>
      </c>
      <c r="HB51">
        <v>0</v>
      </c>
      <c r="IK51">
        <v>0</v>
      </c>
    </row>
    <row r="52" spans="1:255">
      <c r="A52" s="2">
        <v>18</v>
      </c>
      <c r="B52" s="2">
        <v>1</v>
      </c>
      <c r="C52" s="2">
        <v>91</v>
      </c>
      <c r="D52" s="2"/>
      <c r="E52" s="2" t="s">
        <v>100</v>
      </c>
      <c r="F52" s="2" t="s">
        <v>101</v>
      </c>
      <c r="G52" s="2" t="s">
        <v>102</v>
      </c>
      <c r="H52" s="2" t="s">
        <v>103</v>
      </c>
      <c r="I52" s="2">
        <f>I50*J52</f>
        <v>-485.15</v>
      </c>
      <c r="J52" s="2">
        <v>-100</v>
      </c>
      <c r="K52" s="2"/>
      <c r="L52" s="2"/>
      <c r="M52" s="2"/>
      <c r="N52" s="2"/>
      <c r="O52" s="2">
        <f t="shared" si="14"/>
        <v>-31704.55</v>
      </c>
      <c r="P52" s="2">
        <f t="shared" si="15"/>
        <v>-31704.55</v>
      </c>
      <c r="Q52" s="2">
        <f t="shared" si="16"/>
        <v>0</v>
      </c>
      <c r="R52" s="2">
        <f t="shared" si="17"/>
        <v>0</v>
      </c>
      <c r="S52" s="2">
        <f t="shared" si="18"/>
        <v>0</v>
      </c>
      <c r="T52" s="2">
        <f t="shared" si="19"/>
        <v>0</v>
      </c>
      <c r="U52" s="2">
        <f t="shared" si="20"/>
        <v>0</v>
      </c>
      <c r="V52" s="2">
        <f t="shared" si="21"/>
        <v>0</v>
      </c>
      <c r="W52" s="2">
        <f t="shared" si="22"/>
        <v>0</v>
      </c>
      <c r="X52" s="2">
        <f t="shared" si="23"/>
        <v>0</v>
      </c>
      <c r="Y52" s="2">
        <f t="shared" si="24"/>
        <v>0</v>
      </c>
      <c r="Z52" s="2"/>
      <c r="AA52" s="2">
        <v>34847864</v>
      </c>
      <c r="AB52" s="2">
        <f t="shared" si="25"/>
        <v>65.349999999999994</v>
      </c>
      <c r="AC52" s="2">
        <f t="shared" si="26"/>
        <v>65.349999999999994</v>
      </c>
      <c r="AD52" s="2">
        <f>ROUND((((ET52)-(EU52))+AE52),6)</f>
        <v>0</v>
      </c>
      <c r="AE52" s="2">
        <f t="shared" ref="AE52:AF55" si="52">ROUND((EU52),6)</f>
        <v>0</v>
      </c>
      <c r="AF52" s="2">
        <f t="shared" si="52"/>
        <v>0</v>
      </c>
      <c r="AG52" s="2">
        <f t="shared" si="28"/>
        <v>0</v>
      </c>
      <c r="AH52" s="2">
        <f t="shared" ref="AH52:AI55" si="53">(EW52)</f>
        <v>0</v>
      </c>
      <c r="AI52" s="2">
        <f t="shared" si="53"/>
        <v>0</v>
      </c>
      <c r="AJ52" s="2">
        <f t="shared" si="30"/>
        <v>0</v>
      </c>
      <c r="AK52" s="2">
        <v>65.349999999999994</v>
      </c>
      <c r="AL52" s="2">
        <v>65.349999999999994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142</v>
      </c>
      <c r="AU52" s="2">
        <v>81</v>
      </c>
      <c r="AV52" s="2">
        <v>1</v>
      </c>
      <c r="AW52" s="2">
        <v>1</v>
      </c>
      <c r="AX52" s="2"/>
      <c r="AY52" s="2"/>
      <c r="AZ52" s="2">
        <v>1</v>
      </c>
      <c r="BA52" s="2">
        <v>1</v>
      </c>
      <c r="BB52" s="2">
        <v>1</v>
      </c>
      <c r="BC52" s="2">
        <v>1</v>
      </c>
      <c r="BD52" s="2" t="s">
        <v>3</v>
      </c>
      <c r="BE52" s="2" t="s">
        <v>3</v>
      </c>
      <c r="BF52" s="2" t="s">
        <v>3</v>
      </c>
      <c r="BG52" s="2" t="s">
        <v>3</v>
      </c>
      <c r="BH52" s="2">
        <v>3</v>
      </c>
      <c r="BI52" s="2">
        <v>1</v>
      </c>
      <c r="BJ52" s="2" t="s">
        <v>104</v>
      </c>
      <c r="BK52" s="2"/>
      <c r="BL52" s="2"/>
      <c r="BM52" s="2">
        <v>27001</v>
      </c>
      <c r="BN52" s="2">
        <v>0</v>
      </c>
      <c r="BO52" s="2" t="s">
        <v>3</v>
      </c>
      <c r="BP52" s="2">
        <v>0</v>
      </c>
      <c r="BQ52" s="2">
        <v>2</v>
      </c>
      <c r="BR52" s="2">
        <v>1</v>
      </c>
      <c r="BS52" s="2">
        <v>1</v>
      </c>
      <c r="BT52" s="2">
        <v>1</v>
      </c>
      <c r="BU52" s="2">
        <v>1</v>
      </c>
      <c r="BV52" s="2">
        <v>1</v>
      </c>
      <c r="BW52" s="2">
        <v>1</v>
      </c>
      <c r="BX52" s="2">
        <v>1</v>
      </c>
      <c r="BY52" s="2" t="s">
        <v>3</v>
      </c>
      <c r="BZ52" s="2">
        <v>142</v>
      </c>
      <c r="CA52" s="2">
        <v>95</v>
      </c>
      <c r="CB52" s="2"/>
      <c r="CC52" s="2"/>
      <c r="CD52" s="2"/>
      <c r="CE52" s="2"/>
      <c r="CF52" s="2">
        <v>0</v>
      </c>
      <c r="CG52" s="2">
        <v>0</v>
      </c>
      <c r="CH52" s="2"/>
      <c r="CI52" s="2"/>
      <c r="CJ52" s="2"/>
      <c r="CK52" s="2"/>
      <c r="CL52" s="2"/>
      <c r="CM52" s="2">
        <v>0</v>
      </c>
      <c r="CN52" s="2" t="s">
        <v>3</v>
      </c>
      <c r="CO52" s="2">
        <v>0</v>
      </c>
      <c r="CP52" s="2">
        <f t="shared" si="31"/>
        <v>-31704.55</v>
      </c>
      <c r="CQ52" s="2">
        <f t="shared" si="32"/>
        <v>65.349999999999994</v>
      </c>
      <c r="CR52" s="2">
        <f t="shared" si="33"/>
        <v>0</v>
      </c>
      <c r="CS52" s="2">
        <f t="shared" si="34"/>
        <v>0</v>
      </c>
      <c r="CT52" s="2">
        <f t="shared" si="35"/>
        <v>0</v>
      </c>
      <c r="CU52" s="2">
        <f t="shared" si="36"/>
        <v>0</v>
      </c>
      <c r="CV52" s="2">
        <f t="shared" si="37"/>
        <v>0</v>
      </c>
      <c r="CW52" s="2">
        <f t="shared" si="38"/>
        <v>0</v>
      </c>
      <c r="CX52" s="2">
        <f t="shared" si="39"/>
        <v>0</v>
      </c>
      <c r="CY52" s="2">
        <f t="shared" si="40"/>
        <v>0</v>
      </c>
      <c r="CZ52" s="2">
        <f t="shared" si="41"/>
        <v>0</v>
      </c>
      <c r="DA52" s="2"/>
      <c r="DB52" s="2"/>
      <c r="DC52" s="2" t="s">
        <v>3</v>
      </c>
      <c r="DD52" s="2" t="s">
        <v>3</v>
      </c>
      <c r="DE52" s="2" t="s">
        <v>3</v>
      </c>
      <c r="DF52" s="2" t="s">
        <v>3</v>
      </c>
      <c r="DG52" s="2" t="s">
        <v>3</v>
      </c>
      <c r="DH52" s="2" t="s">
        <v>3</v>
      </c>
      <c r="DI52" s="2" t="s">
        <v>3</v>
      </c>
      <c r="DJ52" s="2" t="s">
        <v>3</v>
      </c>
      <c r="DK52" s="2" t="s">
        <v>3</v>
      </c>
      <c r="DL52" s="2" t="s">
        <v>3</v>
      </c>
      <c r="DM52" s="2" t="s">
        <v>3</v>
      </c>
      <c r="DN52" s="2">
        <v>0</v>
      </c>
      <c r="DO52" s="2">
        <v>0</v>
      </c>
      <c r="DP52" s="2">
        <v>1</v>
      </c>
      <c r="DQ52" s="2">
        <v>1</v>
      </c>
      <c r="DR52" s="2"/>
      <c r="DS52" s="2"/>
      <c r="DT52" s="2"/>
      <c r="DU52" s="2">
        <v>1005</v>
      </c>
      <c r="DV52" s="2" t="s">
        <v>103</v>
      </c>
      <c r="DW52" s="2" t="s">
        <v>103</v>
      </c>
      <c r="DX52" s="2">
        <v>1</v>
      </c>
      <c r="DY52" s="2"/>
      <c r="DZ52" s="2"/>
      <c r="EA52" s="2"/>
      <c r="EB52" s="2"/>
      <c r="EC52" s="2"/>
      <c r="ED52" s="2"/>
      <c r="EE52" s="2">
        <v>24085400</v>
      </c>
      <c r="EF52" s="2">
        <v>2</v>
      </c>
      <c r="EG52" s="2" t="s">
        <v>33</v>
      </c>
      <c r="EH52" s="2">
        <v>0</v>
      </c>
      <c r="EI52" s="2" t="s">
        <v>3</v>
      </c>
      <c r="EJ52" s="2">
        <v>1</v>
      </c>
      <c r="EK52" s="2">
        <v>27001</v>
      </c>
      <c r="EL52" s="2" t="s">
        <v>64</v>
      </c>
      <c r="EM52" s="2" t="s">
        <v>65</v>
      </c>
      <c r="EN52" s="2"/>
      <c r="EO52" s="2" t="s">
        <v>3</v>
      </c>
      <c r="EP52" s="2"/>
      <c r="EQ52" s="2">
        <v>0</v>
      </c>
      <c r="ER52" s="2">
        <v>65.349999999999994</v>
      </c>
      <c r="ES52" s="2">
        <v>65.349999999999994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>
        <v>0</v>
      </c>
      <c r="FR52" s="2">
        <f t="shared" si="42"/>
        <v>0</v>
      </c>
      <c r="FS52" s="2">
        <v>0</v>
      </c>
      <c r="FT52" s="2"/>
      <c r="FU52" s="2" t="s">
        <v>21</v>
      </c>
      <c r="FV52" s="2"/>
      <c r="FW52" s="2"/>
      <c r="FX52" s="2">
        <v>142</v>
      </c>
      <c r="FY52" s="2">
        <v>80.75</v>
      </c>
      <c r="FZ52" s="2"/>
      <c r="GA52" s="2" t="s">
        <v>105</v>
      </c>
      <c r="GB52" s="2"/>
      <c r="GC52" s="2"/>
      <c r="GD52" s="2">
        <v>0</v>
      </c>
      <c r="GE52" s="2"/>
      <c r="GF52" s="2">
        <v>1579892875</v>
      </c>
      <c r="GG52" s="2">
        <v>2</v>
      </c>
      <c r="GH52" s="2">
        <v>1</v>
      </c>
      <c r="GI52" s="2">
        <v>-2</v>
      </c>
      <c r="GJ52" s="2">
        <v>0</v>
      </c>
      <c r="GK52" s="2">
        <f>ROUND(R52*(R12)/100,2)</f>
        <v>0</v>
      </c>
      <c r="GL52" s="2">
        <f t="shared" si="43"/>
        <v>0</v>
      </c>
      <c r="GM52" s="2">
        <f t="shared" si="44"/>
        <v>-31704.55</v>
      </c>
      <c r="GN52" s="2">
        <f t="shared" si="45"/>
        <v>-31704.55</v>
      </c>
      <c r="GO52" s="2">
        <f t="shared" si="46"/>
        <v>0</v>
      </c>
      <c r="GP52" s="2">
        <f t="shared" si="47"/>
        <v>0</v>
      </c>
      <c r="GQ52" s="2"/>
      <c r="GR52" s="2">
        <v>0</v>
      </c>
      <c r="GS52" s="2">
        <v>4</v>
      </c>
      <c r="GT52" s="2">
        <v>0</v>
      </c>
      <c r="GU52" s="2" t="s">
        <v>3</v>
      </c>
      <c r="GV52" s="2">
        <f t="shared" si="48"/>
        <v>0</v>
      </c>
      <c r="GW52" s="2">
        <v>1</v>
      </c>
      <c r="GX52" s="2">
        <f t="shared" si="49"/>
        <v>0</v>
      </c>
      <c r="GY52" s="2"/>
      <c r="GZ52" s="2"/>
      <c r="HA52" s="2">
        <v>0</v>
      </c>
      <c r="HB52" s="2">
        <v>0</v>
      </c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>
        <v>0</v>
      </c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>
      <c r="A53">
        <v>18</v>
      </c>
      <c r="B53">
        <v>1</v>
      </c>
      <c r="C53">
        <v>101</v>
      </c>
      <c r="E53" t="s">
        <v>100</v>
      </c>
      <c r="F53" t="s">
        <v>101</v>
      </c>
      <c r="G53" t="s">
        <v>102</v>
      </c>
      <c r="H53" t="s">
        <v>103</v>
      </c>
      <c r="I53">
        <f>I51*J53</f>
        <v>-485.15</v>
      </c>
      <c r="J53">
        <v>-100</v>
      </c>
      <c r="O53">
        <f t="shared" si="14"/>
        <v>-187056.86</v>
      </c>
      <c r="P53">
        <f t="shared" si="15"/>
        <v>-187056.86</v>
      </c>
      <c r="Q53">
        <f t="shared" si="16"/>
        <v>0</v>
      </c>
      <c r="R53">
        <f t="shared" si="17"/>
        <v>0</v>
      </c>
      <c r="S53">
        <f t="shared" si="18"/>
        <v>0</v>
      </c>
      <c r="T53">
        <f t="shared" si="19"/>
        <v>0</v>
      </c>
      <c r="U53">
        <f t="shared" si="20"/>
        <v>0</v>
      </c>
      <c r="V53">
        <f t="shared" si="21"/>
        <v>0</v>
      </c>
      <c r="W53">
        <f t="shared" si="22"/>
        <v>0</v>
      </c>
      <c r="X53">
        <f t="shared" si="23"/>
        <v>0</v>
      </c>
      <c r="Y53">
        <f t="shared" si="24"/>
        <v>0</v>
      </c>
      <c r="AA53">
        <v>34847877</v>
      </c>
      <c r="AB53">
        <f t="shared" si="25"/>
        <v>65.349999999999994</v>
      </c>
      <c r="AC53">
        <f t="shared" si="26"/>
        <v>65.349999999999994</v>
      </c>
      <c r="AD53">
        <f>ROUND((((ET53)-(EU53))+AE53),6)</f>
        <v>0</v>
      </c>
      <c r="AE53">
        <f t="shared" si="52"/>
        <v>0</v>
      </c>
      <c r="AF53">
        <f t="shared" si="52"/>
        <v>0</v>
      </c>
      <c r="AG53">
        <f t="shared" si="28"/>
        <v>0</v>
      </c>
      <c r="AH53">
        <f t="shared" si="53"/>
        <v>0</v>
      </c>
      <c r="AI53">
        <f t="shared" si="53"/>
        <v>0</v>
      </c>
      <c r="AJ53">
        <f t="shared" si="30"/>
        <v>0</v>
      </c>
      <c r="AK53">
        <v>65.349999999999994</v>
      </c>
      <c r="AL53">
        <v>65.349999999999994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121</v>
      </c>
      <c r="AU53">
        <v>65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5.9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1</v>
      </c>
      <c r="BJ53" t="s">
        <v>104</v>
      </c>
      <c r="BM53">
        <v>27001</v>
      </c>
      <c r="BN53">
        <v>0</v>
      </c>
      <c r="BO53" t="s">
        <v>3</v>
      </c>
      <c r="BP53">
        <v>0</v>
      </c>
      <c r="BQ53">
        <v>2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142</v>
      </c>
      <c r="CA53">
        <v>95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31"/>
        <v>-187056.86</v>
      </c>
      <c r="CQ53">
        <f t="shared" si="32"/>
        <v>385.565</v>
      </c>
      <c r="CR53">
        <f t="shared" si="33"/>
        <v>0</v>
      </c>
      <c r="CS53">
        <f t="shared" si="34"/>
        <v>0</v>
      </c>
      <c r="CT53">
        <f t="shared" si="35"/>
        <v>0</v>
      </c>
      <c r="CU53">
        <f t="shared" si="36"/>
        <v>0</v>
      </c>
      <c r="CV53">
        <f t="shared" si="37"/>
        <v>0</v>
      </c>
      <c r="CW53">
        <f t="shared" si="38"/>
        <v>0</v>
      </c>
      <c r="CX53">
        <f t="shared" si="39"/>
        <v>0</v>
      </c>
      <c r="CY53">
        <f t="shared" si="40"/>
        <v>0</v>
      </c>
      <c r="CZ53">
        <f t="shared" si="41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1005</v>
      </c>
      <c r="DV53" t="s">
        <v>103</v>
      </c>
      <c r="DW53" t="s">
        <v>103</v>
      </c>
      <c r="DX53">
        <v>1</v>
      </c>
      <c r="EE53">
        <v>24085400</v>
      </c>
      <c r="EF53">
        <v>2</v>
      </c>
      <c r="EG53" t="s">
        <v>33</v>
      </c>
      <c r="EH53">
        <v>0</v>
      </c>
      <c r="EI53" t="s">
        <v>3</v>
      </c>
      <c r="EJ53">
        <v>1</v>
      </c>
      <c r="EK53">
        <v>27001</v>
      </c>
      <c r="EL53" t="s">
        <v>64</v>
      </c>
      <c r="EM53" t="s">
        <v>65</v>
      </c>
      <c r="EO53" t="s">
        <v>3</v>
      </c>
      <c r="EQ53">
        <v>0</v>
      </c>
      <c r="ER53">
        <v>65.349999999999994</v>
      </c>
      <c r="ES53">
        <v>65.349999999999994</v>
      </c>
      <c r="ET53">
        <v>0</v>
      </c>
      <c r="EU53">
        <v>0</v>
      </c>
      <c r="EV53">
        <v>0</v>
      </c>
      <c r="EW53">
        <v>0</v>
      </c>
      <c r="EX53">
        <v>0</v>
      </c>
      <c r="FQ53">
        <v>0</v>
      </c>
      <c r="FR53">
        <f t="shared" si="42"/>
        <v>0</v>
      </c>
      <c r="FS53">
        <v>0</v>
      </c>
      <c r="FU53" t="s">
        <v>21</v>
      </c>
      <c r="FV53" t="s">
        <v>21</v>
      </c>
      <c r="FW53" t="s">
        <v>22</v>
      </c>
      <c r="FX53">
        <v>142</v>
      </c>
      <c r="FY53">
        <v>80.75</v>
      </c>
      <c r="GA53" t="s">
        <v>105</v>
      </c>
      <c r="GD53">
        <v>0</v>
      </c>
      <c r="GF53">
        <v>1579892875</v>
      </c>
      <c r="GG53">
        <v>2</v>
      </c>
      <c r="GH53">
        <v>1</v>
      </c>
      <c r="GI53">
        <v>4</v>
      </c>
      <c r="GJ53">
        <v>0</v>
      </c>
      <c r="GK53">
        <f>ROUND(R53*(S12)/100,2)</f>
        <v>0</v>
      </c>
      <c r="GL53">
        <f t="shared" si="43"/>
        <v>0</v>
      </c>
      <c r="GM53">
        <f t="shared" si="44"/>
        <v>-187056.86</v>
      </c>
      <c r="GN53">
        <f t="shared" si="45"/>
        <v>-187056.86</v>
      </c>
      <c r="GO53">
        <f t="shared" si="46"/>
        <v>0</v>
      </c>
      <c r="GP53">
        <f t="shared" si="47"/>
        <v>0</v>
      </c>
      <c r="GR53">
        <v>0</v>
      </c>
      <c r="GS53">
        <v>4</v>
      </c>
      <c r="GT53">
        <v>0</v>
      </c>
      <c r="GU53" t="s">
        <v>3</v>
      </c>
      <c r="GV53">
        <f t="shared" si="48"/>
        <v>0</v>
      </c>
      <c r="GW53">
        <v>1</v>
      </c>
      <c r="GX53">
        <f t="shared" si="49"/>
        <v>0</v>
      </c>
      <c r="HA53">
        <v>0</v>
      </c>
      <c r="HB53">
        <v>0</v>
      </c>
      <c r="IK53">
        <v>0</v>
      </c>
    </row>
    <row r="54" spans="1:255">
      <c r="A54" s="2">
        <v>18</v>
      </c>
      <c r="B54" s="2">
        <v>1</v>
      </c>
      <c r="C54" s="2">
        <v>92</v>
      </c>
      <c r="D54" s="2"/>
      <c r="E54" s="2" t="s">
        <v>106</v>
      </c>
      <c r="F54" s="2" t="s">
        <v>107</v>
      </c>
      <c r="G54" s="2" t="s">
        <v>108</v>
      </c>
      <c r="H54" s="2" t="s">
        <v>103</v>
      </c>
      <c r="I54" s="2">
        <f>I50*J54</f>
        <v>485.15</v>
      </c>
      <c r="J54" s="2">
        <v>100</v>
      </c>
      <c r="K54" s="2"/>
      <c r="L54" s="2"/>
      <c r="M54" s="2"/>
      <c r="N54" s="2"/>
      <c r="O54" s="2">
        <f t="shared" si="14"/>
        <v>43770.23</v>
      </c>
      <c r="P54" s="2">
        <f t="shared" si="15"/>
        <v>43770.23</v>
      </c>
      <c r="Q54" s="2">
        <f t="shared" si="16"/>
        <v>0</v>
      </c>
      <c r="R54" s="2">
        <f t="shared" si="17"/>
        <v>0</v>
      </c>
      <c r="S54" s="2">
        <f t="shared" si="18"/>
        <v>0</v>
      </c>
      <c r="T54" s="2">
        <f t="shared" si="19"/>
        <v>0</v>
      </c>
      <c r="U54" s="2">
        <f t="shared" si="20"/>
        <v>0</v>
      </c>
      <c r="V54" s="2">
        <f t="shared" si="21"/>
        <v>0</v>
      </c>
      <c r="W54" s="2">
        <f t="shared" si="22"/>
        <v>0</v>
      </c>
      <c r="X54" s="2">
        <f t="shared" si="23"/>
        <v>0</v>
      </c>
      <c r="Y54" s="2">
        <f t="shared" si="24"/>
        <v>0</v>
      </c>
      <c r="Z54" s="2"/>
      <c r="AA54" s="2">
        <v>34847864</v>
      </c>
      <c r="AB54" s="2">
        <f t="shared" si="25"/>
        <v>90.22</v>
      </c>
      <c r="AC54" s="2">
        <f t="shared" si="26"/>
        <v>90.22</v>
      </c>
      <c r="AD54" s="2">
        <f>ROUND((((ET54)-(EU54))+AE54),6)</f>
        <v>0</v>
      </c>
      <c r="AE54" s="2">
        <f t="shared" si="52"/>
        <v>0</v>
      </c>
      <c r="AF54" s="2">
        <f t="shared" si="52"/>
        <v>0</v>
      </c>
      <c r="AG54" s="2">
        <f t="shared" si="28"/>
        <v>0</v>
      </c>
      <c r="AH54" s="2">
        <f t="shared" si="53"/>
        <v>0</v>
      </c>
      <c r="AI54" s="2">
        <f t="shared" si="53"/>
        <v>0</v>
      </c>
      <c r="AJ54" s="2">
        <f t="shared" si="30"/>
        <v>0</v>
      </c>
      <c r="AK54" s="2">
        <v>90.22</v>
      </c>
      <c r="AL54" s="2">
        <v>90.22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142</v>
      </c>
      <c r="AU54" s="2">
        <v>81</v>
      </c>
      <c r="AV54" s="2">
        <v>1</v>
      </c>
      <c r="AW54" s="2">
        <v>1</v>
      </c>
      <c r="AX54" s="2"/>
      <c r="AY54" s="2"/>
      <c r="AZ54" s="2">
        <v>1</v>
      </c>
      <c r="BA54" s="2">
        <v>1</v>
      </c>
      <c r="BB54" s="2">
        <v>1</v>
      </c>
      <c r="BC54" s="2">
        <v>1</v>
      </c>
      <c r="BD54" s="2" t="s">
        <v>3</v>
      </c>
      <c r="BE54" s="2" t="s">
        <v>3</v>
      </c>
      <c r="BF54" s="2" t="s">
        <v>3</v>
      </c>
      <c r="BG54" s="2" t="s">
        <v>3</v>
      </c>
      <c r="BH54" s="2">
        <v>3</v>
      </c>
      <c r="BI54" s="2">
        <v>1</v>
      </c>
      <c r="BJ54" s="2" t="s">
        <v>109</v>
      </c>
      <c r="BK54" s="2"/>
      <c r="BL54" s="2"/>
      <c r="BM54" s="2">
        <v>27001</v>
      </c>
      <c r="BN54" s="2">
        <v>0</v>
      </c>
      <c r="BO54" s="2" t="s">
        <v>3</v>
      </c>
      <c r="BP54" s="2">
        <v>0</v>
      </c>
      <c r="BQ54" s="2">
        <v>2</v>
      </c>
      <c r="BR54" s="2">
        <v>0</v>
      </c>
      <c r="BS54" s="2">
        <v>1</v>
      </c>
      <c r="BT54" s="2">
        <v>1</v>
      </c>
      <c r="BU54" s="2">
        <v>1</v>
      </c>
      <c r="BV54" s="2">
        <v>1</v>
      </c>
      <c r="BW54" s="2">
        <v>1</v>
      </c>
      <c r="BX54" s="2">
        <v>1</v>
      </c>
      <c r="BY54" s="2" t="s">
        <v>3</v>
      </c>
      <c r="BZ54" s="2">
        <v>142</v>
      </c>
      <c r="CA54" s="2">
        <v>95</v>
      </c>
      <c r="CB54" s="2"/>
      <c r="CC54" s="2"/>
      <c r="CD54" s="2"/>
      <c r="CE54" s="2"/>
      <c r="CF54" s="2">
        <v>0</v>
      </c>
      <c r="CG54" s="2">
        <v>0</v>
      </c>
      <c r="CH54" s="2"/>
      <c r="CI54" s="2"/>
      <c r="CJ54" s="2"/>
      <c r="CK54" s="2"/>
      <c r="CL54" s="2"/>
      <c r="CM54" s="2">
        <v>0</v>
      </c>
      <c r="CN54" s="2" t="s">
        <v>3</v>
      </c>
      <c r="CO54" s="2">
        <v>0</v>
      </c>
      <c r="CP54" s="2">
        <f t="shared" si="31"/>
        <v>43770.23</v>
      </c>
      <c r="CQ54" s="2">
        <f t="shared" si="32"/>
        <v>90.22</v>
      </c>
      <c r="CR54" s="2">
        <f t="shared" si="33"/>
        <v>0</v>
      </c>
      <c r="CS54" s="2">
        <f t="shared" si="34"/>
        <v>0</v>
      </c>
      <c r="CT54" s="2">
        <f t="shared" si="35"/>
        <v>0</v>
      </c>
      <c r="CU54" s="2">
        <f t="shared" si="36"/>
        <v>0</v>
      </c>
      <c r="CV54" s="2">
        <f t="shared" si="37"/>
        <v>0</v>
      </c>
      <c r="CW54" s="2">
        <f t="shared" si="38"/>
        <v>0</v>
      </c>
      <c r="CX54" s="2">
        <f t="shared" si="39"/>
        <v>0</v>
      </c>
      <c r="CY54" s="2">
        <f t="shared" si="40"/>
        <v>0</v>
      </c>
      <c r="CZ54" s="2">
        <f t="shared" si="41"/>
        <v>0</v>
      </c>
      <c r="DA54" s="2"/>
      <c r="DB54" s="2"/>
      <c r="DC54" s="2" t="s">
        <v>3</v>
      </c>
      <c r="DD54" s="2" t="s">
        <v>3</v>
      </c>
      <c r="DE54" s="2" t="s">
        <v>3</v>
      </c>
      <c r="DF54" s="2" t="s">
        <v>3</v>
      </c>
      <c r="DG54" s="2" t="s">
        <v>3</v>
      </c>
      <c r="DH54" s="2" t="s">
        <v>3</v>
      </c>
      <c r="DI54" s="2" t="s">
        <v>3</v>
      </c>
      <c r="DJ54" s="2" t="s">
        <v>3</v>
      </c>
      <c r="DK54" s="2" t="s">
        <v>3</v>
      </c>
      <c r="DL54" s="2" t="s">
        <v>3</v>
      </c>
      <c r="DM54" s="2" t="s">
        <v>3</v>
      </c>
      <c r="DN54" s="2">
        <v>0</v>
      </c>
      <c r="DO54" s="2">
        <v>0</v>
      </c>
      <c r="DP54" s="2">
        <v>1</v>
      </c>
      <c r="DQ54" s="2">
        <v>1</v>
      </c>
      <c r="DR54" s="2"/>
      <c r="DS54" s="2"/>
      <c r="DT54" s="2"/>
      <c r="DU54" s="2">
        <v>1005</v>
      </c>
      <c r="DV54" s="2" t="s">
        <v>103</v>
      </c>
      <c r="DW54" s="2" t="s">
        <v>103</v>
      </c>
      <c r="DX54" s="2">
        <v>1</v>
      </c>
      <c r="DY54" s="2"/>
      <c r="DZ54" s="2"/>
      <c r="EA54" s="2"/>
      <c r="EB54" s="2"/>
      <c r="EC54" s="2"/>
      <c r="ED54" s="2"/>
      <c r="EE54" s="2">
        <v>24085400</v>
      </c>
      <c r="EF54" s="2">
        <v>2</v>
      </c>
      <c r="EG54" s="2" t="s">
        <v>33</v>
      </c>
      <c r="EH54" s="2">
        <v>0</v>
      </c>
      <c r="EI54" s="2" t="s">
        <v>3</v>
      </c>
      <c r="EJ54" s="2">
        <v>1</v>
      </c>
      <c r="EK54" s="2">
        <v>27001</v>
      </c>
      <c r="EL54" s="2" t="s">
        <v>64</v>
      </c>
      <c r="EM54" s="2" t="s">
        <v>65</v>
      </c>
      <c r="EN54" s="2"/>
      <c r="EO54" s="2" t="s">
        <v>3</v>
      </c>
      <c r="EP54" s="2"/>
      <c r="EQ54" s="2">
        <v>0</v>
      </c>
      <c r="ER54" s="2">
        <v>90.22</v>
      </c>
      <c r="ES54" s="2">
        <v>90.22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>
        <v>0</v>
      </c>
      <c r="FR54" s="2">
        <f t="shared" si="42"/>
        <v>0</v>
      </c>
      <c r="FS54" s="2">
        <v>0</v>
      </c>
      <c r="FT54" s="2"/>
      <c r="FU54" s="2" t="s">
        <v>21</v>
      </c>
      <c r="FV54" s="2"/>
      <c r="FW54" s="2"/>
      <c r="FX54" s="2">
        <v>142</v>
      </c>
      <c r="FY54" s="2">
        <v>80.75</v>
      </c>
      <c r="FZ54" s="2"/>
      <c r="GA54" s="2" t="s">
        <v>3</v>
      </c>
      <c r="GB54" s="2"/>
      <c r="GC54" s="2"/>
      <c r="GD54" s="2">
        <v>0</v>
      </c>
      <c r="GE54" s="2"/>
      <c r="GF54" s="2">
        <v>418301865</v>
      </c>
      <c r="GG54" s="2">
        <v>2</v>
      </c>
      <c r="GH54" s="2">
        <v>1</v>
      </c>
      <c r="GI54" s="2">
        <v>-2</v>
      </c>
      <c r="GJ54" s="2">
        <v>0</v>
      </c>
      <c r="GK54" s="2">
        <f>ROUND(R54*(R12)/100,2)</f>
        <v>0</v>
      </c>
      <c r="GL54" s="2">
        <f t="shared" si="43"/>
        <v>0</v>
      </c>
      <c r="GM54" s="2">
        <f t="shared" si="44"/>
        <v>43770.23</v>
      </c>
      <c r="GN54" s="2">
        <f t="shared" si="45"/>
        <v>43770.23</v>
      </c>
      <c r="GO54" s="2">
        <f t="shared" si="46"/>
        <v>0</v>
      </c>
      <c r="GP54" s="2">
        <f t="shared" si="47"/>
        <v>0</v>
      </c>
      <c r="GQ54" s="2"/>
      <c r="GR54" s="2">
        <v>0</v>
      </c>
      <c r="GS54" s="2">
        <v>3</v>
      </c>
      <c r="GT54" s="2">
        <v>0</v>
      </c>
      <c r="GU54" s="2" t="s">
        <v>3</v>
      </c>
      <c r="GV54" s="2">
        <f t="shared" si="48"/>
        <v>0</v>
      </c>
      <c r="GW54" s="2">
        <v>1</v>
      </c>
      <c r="GX54" s="2">
        <f t="shared" si="49"/>
        <v>0</v>
      </c>
      <c r="GY54" s="2"/>
      <c r="GZ54" s="2"/>
      <c r="HA54" s="2">
        <v>0</v>
      </c>
      <c r="HB54" s="2">
        <v>0</v>
      </c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>
        <v>0</v>
      </c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>
      <c r="A55">
        <v>18</v>
      </c>
      <c r="B55">
        <v>1</v>
      </c>
      <c r="C55">
        <v>102</v>
      </c>
      <c r="E55" t="s">
        <v>106</v>
      </c>
      <c r="F55" t="s">
        <v>107</v>
      </c>
      <c r="G55" t="s">
        <v>108</v>
      </c>
      <c r="H55" t="s">
        <v>103</v>
      </c>
      <c r="I55">
        <f>I51*J55</f>
        <v>485.15</v>
      </c>
      <c r="J55">
        <v>100</v>
      </c>
      <c r="O55">
        <f t="shared" si="14"/>
        <v>258244.37</v>
      </c>
      <c r="P55">
        <f t="shared" si="15"/>
        <v>258244.37</v>
      </c>
      <c r="Q55">
        <f t="shared" si="16"/>
        <v>0</v>
      </c>
      <c r="R55">
        <f t="shared" si="17"/>
        <v>0</v>
      </c>
      <c r="S55">
        <f t="shared" si="18"/>
        <v>0</v>
      </c>
      <c r="T55">
        <f t="shared" si="19"/>
        <v>0</v>
      </c>
      <c r="U55">
        <f t="shared" si="20"/>
        <v>0</v>
      </c>
      <c r="V55">
        <f t="shared" si="21"/>
        <v>0</v>
      </c>
      <c r="W55">
        <f t="shared" si="22"/>
        <v>0</v>
      </c>
      <c r="X55">
        <f t="shared" si="23"/>
        <v>0</v>
      </c>
      <c r="Y55">
        <f t="shared" si="24"/>
        <v>0</v>
      </c>
      <c r="AA55">
        <v>34847877</v>
      </c>
      <c r="AB55">
        <f t="shared" si="25"/>
        <v>90.22</v>
      </c>
      <c r="AC55">
        <f t="shared" si="26"/>
        <v>90.22</v>
      </c>
      <c r="AD55">
        <f>ROUND((((ET55)-(EU55))+AE55),6)</f>
        <v>0</v>
      </c>
      <c r="AE55">
        <f t="shared" si="52"/>
        <v>0</v>
      </c>
      <c r="AF55">
        <f t="shared" si="52"/>
        <v>0</v>
      </c>
      <c r="AG55">
        <f t="shared" si="28"/>
        <v>0</v>
      </c>
      <c r="AH55">
        <f t="shared" si="53"/>
        <v>0</v>
      </c>
      <c r="AI55">
        <f t="shared" si="53"/>
        <v>0</v>
      </c>
      <c r="AJ55">
        <f t="shared" si="30"/>
        <v>0</v>
      </c>
      <c r="AK55">
        <v>90.22</v>
      </c>
      <c r="AL55">
        <v>90.22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121</v>
      </c>
      <c r="AU55">
        <v>65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5.9</v>
      </c>
      <c r="BD55" t="s">
        <v>3</v>
      </c>
      <c r="BE55" t="s">
        <v>3</v>
      </c>
      <c r="BF55" t="s">
        <v>3</v>
      </c>
      <c r="BG55" t="s">
        <v>3</v>
      </c>
      <c r="BH55">
        <v>3</v>
      </c>
      <c r="BI55">
        <v>1</v>
      </c>
      <c r="BJ55" t="s">
        <v>109</v>
      </c>
      <c r="BM55">
        <v>27001</v>
      </c>
      <c r="BN55">
        <v>0</v>
      </c>
      <c r="BO55" t="s">
        <v>3</v>
      </c>
      <c r="BP55">
        <v>0</v>
      </c>
      <c r="BQ55">
        <v>2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142</v>
      </c>
      <c r="CA55">
        <v>95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31"/>
        <v>258244.37</v>
      </c>
      <c r="CQ55">
        <f t="shared" si="32"/>
        <v>532.298</v>
      </c>
      <c r="CR55">
        <f t="shared" si="33"/>
        <v>0</v>
      </c>
      <c r="CS55">
        <f t="shared" si="34"/>
        <v>0</v>
      </c>
      <c r="CT55">
        <f t="shared" si="35"/>
        <v>0</v>
      </c>
      <c r="CU55">
        <f t="shared" si="36"/>
        <v>0</v>
      </c>
      <c r="CV55">
        <f t="shared" si="37"/>
        <v>0</v>
      </c>
      <c r="CW55">
        <f t="shared" si="38"/>
        <v>0</v>
      </c>
      <c r="CX55">
        <f t="shared" si="39"/>
        <v>0</v>
      </c>
      <c r="CY55">
        <f t="shared" si="40"/>
        <v>0</v>
      </c>
      <c r="CZ55">
        <f t="shared" si="41"/>
        <v>0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1005</v>
      </c>
      <c r="DV55" t="s">
        <v>103</v>
      </c>
      <c r="DW55" t="s">
        <v>103</v>
      </c>
      <c r="DX55">
        <v>1</v>
      </c>
      <c r="EE55">
        <v>24085400</v>
      </c>
      <c r="EF55">
        <v>2</v>
      </c>
      <c r="EG55" t="s">
        <v>33</v>
      </c>
      <c r="EH55">
        <v>0</v>
      </c>
      <c r="EI55" t="s">
        <v>3</v>
      </c>
      <c r="EJ55">
        <v>1</v>
      </c>
      <c r="EK55">
        <v>27001</v>
      </c>
      <c r="EL55" t="s">
        <v>64</v>
      </c>
      <c r="EM55" t="s">
        <v>65</v>
      </c>
      <c r="EO55" t="s">
        <v>3</v>
      </c>
      <c r="EQ55">
        <v>0</v>
      </c>
      <c r="ER55">
        <v>90.22</v>
      </c>
      <c r="ES55">
        <v>90.22</v>
      </c>
      <c r="ET55">
        <v>0</v>
      </c>
      <c r="EU55">
        <v>0</v>
      </c>
      <c r="EV55">
        <v>0</v>
      </c>
      <c r="EW55">
        <v>0</v>
      </c>
      <c r="EX55">
        <v>0</v>
      </c>
      <c r="FQ55">
        <v>0</v>
      </c>
      <c r="FR55">
        <f t="shared" si="42"/>
        <v>0</v>
      </c>
      <c r="FS55">
        <v>0</v>
      </c>
      <c r="FU55" t="s">
        <v>21</v>
      </c>
      <c r="FV55" t="s">
        <v>21</v>
      </c>
      <c r="FW55" t="s">
        <v>22</v>
      </c>
      <c r="FX55">
        <v>142</v>
      </c>
      <c r="FY55">
        <v>80.75</v>
      </c>
      <c r="GA55" t="s">
        <v>3</v>
      </c>
      <c r="GD55">
        <v>0</v>
      </c>
      <c r="GF55">
        <v>418301865</v>
      </c>
      <c r="GG55">
        <v>2</v>
      </c>
      <c r="GH55">
        <v>1</v>
      </c>
      <c r="GI55">
        <v>4</v>
      </c>
      <c r="GJ55">
        <v>0</v>
      </c>
      <c r="GK55">
        <f>ROUND(R55*(S12)/100,2)</f>
        <v>0</v>
      </c>
      <c r="GL55">
        <f t="shared" si="43"/>
        <v>0</v>
      </c>
      <c r="GM55">
        <f t="shared" si="44"/>
        <v>258244.37</v>
      </c>
      <c r="GN55">
        <f t="shared" si="45"/>
        <v>258244.37</v>
      </c>
      <c r="GO55">
        <f t="shared" si="46"/>
        <v>0</v>
      </c>
      <c r="GP55">
        <f t="shared" si="47"/>
        <v>0</v>
      </c>
      <c r="GR55">
        <v>0</v>
      </c>
      <c r="GS55">
        <v>3</v>
      </c>
      <c r="GT55">
        <v>0</v>
      </c>
      <c r="GU55" t="s">
        <v>3</v>
      </c>
      <c r="GV55">
        <f t="shared" si="48"/>
        <v>0</v>
      </c>
      <c r="GW55">
        <v>1</v>
      </c>
      <c r="GX55">
        <f t="shared" si="49"/>
        <v>0</v>
      </c>
      <c r="HA55">
        <v>0</v>
      </c>
      <c r="HB55">
        <v>0</v>
      </c>
      <c r="IK55">
        <v>0</v>
      </c>
    </row>
    <row r="56" spans="1:255">
      <c r="A56" s="2">
        <v>17</v>
      </c>
      <c r="B56" s="2">
        <v>1</v>
      </c>
      <c r="C56" s="2">
        <f>ROW(SmtRes!A105)</f>
        <v>105</v>
      </c>
      <c r="D56" s="2">
        <f>ROW(EtalonRes!A103)</f>
        <v>103</v>
      </c>
      <c r="E56" s="2" t="s">
        <v>110</v>
      </c>
      <c r="F56" s="2" t="s">
        <v>111</v>
      </c>
      <c r="G56" s="2" t="s">
        <v>112</v>
      </c>
      <c r="H56" s="2" t="s">
        <v>113</v>
      </c>
      <c r="I56" s="2">
        <f>ROUND(250/1000,9)</f>
        <v>0.25</v>
      </c>
      <c r="J56" s="2">
        <v>0</v>
      </c>
      <c r="K56" s="2"/>
      <c r="L56" s="2"/>
      <c r="M56" s="2"/>
      <c r="N56" s="2"/>
      <c r="O56" s="2">
        <f t="shared" si="14"/>
        <v>245.42</v>
      </c>
      <c r="P56" s="2">
        <f t="shared" si="15"/>
        <v>0</v>
      </c>
      <c r="Q56" s="2">
        <f t="shared" si="16"/>
        <v>0</v>
      </c>
      <c r="R56" s="2">
        <f t="shared" si="17"/>
        <v>0</v>
      </c>
      <c r="S56" s="2">
        <f t="shared" si="18"/>
        <v>245.42</v>
      </c>
      <c r="T56" s="2">
        <f t="shared" si="19"/>
        <v>0</v>
      </c>
      <c r="U56" s="2">
        <f t="shared" si="20"/>
        <v>35.362499999999997</v>
      </c>
      <c r="V56" s="2">
        <f t="shared" si="21"/>
        <v>0</v>
      </c>
      <c r="W56" s="2">
        <f t="shared" si="22"/>
        <v>0</v>
      </c>
      <c r="X56" s="2">
        <f t="shared" si="23"/>
        <v>196.34</v>
      </c>
      <c r="Y56" s="2">
        <f t="shared" si="24"/>
        <v>93.26</v>
      </c>
      <c r="Z56" s="2"/>
      <c r="AA56" s="2">
        <v>34847864</v>
      </c>
      <c r="AB56" s="2">
        <f t="shared" si="25"/>
        <v>981.66300000000001</v>
      </c>
      <c r="AC56" s="2">
        <f t="shared" si="26"/>
        <v>0</v>
      </c>
      <c r="AD56" s="2">
        <f t="shared" ref="AD56:AD61" si="54">ROUND(((((ET56*1.25))-((EU56*1.25)))+AE56),6)</f>
        <v>0</v>
      </c>
      <c r="AE56" s="2">
        <f t="shared" ref="AE56:AE61" si="55">ROUND(((EU56*1.25)),6)</f>
        <v>0</v>
      </c>
      <c r="AF56" s="2">
        <f t="shared" ref="AF56:AF61" si="56">ROUND(((EV56*1.15)),6)</f>
        <v>981.66300000000001</v>
      </c>
      <c r="AG56" s="2">
        <f t="shared" si="28"/>
        <v>0</v>
      </c>
      <c r="AH56" s="2">
        <f t="shared" ref="AH56:AH61" si="57">((EW56*1.15))</f>
        <v>141.44999999999999</v>
      </c>
      <c r="AI56" s="2">
        <f t="shared" ref="AI56:AI61" si="58">((EX56*1.25))</f>
        <v>0</v>
      </c>
      <c r="AJ56" s="2">
        <f t="shared" si="30"/>
        <v>0</v>
      </c>
      <c r="AK56" s="2">
        <v>853.62</v>
      </c>
      <c r="AL56" s="2">
        <v>0</v>
      </c>
      <c r="AM56" s="2">
        <v>0</v>
      </c>
      <c r="AN56" s="2">
        <v>0</v>
      </c>
      <c r="AO56" s="2">
        <v>853.62</v>
      </c>
      <c r="AP56" s="2">
        <v>0</v>
      </c>
      <c r="AQ56" s="2">
        <v>123</v>
      </c>
      <c r="AR56" s="2">
        <v>0</v>
      </c>
      <c r="AS56" s="2">
        <v>0</v>
      </c>
      <c r="AT56" s="2">
        <v>80</v>
      </c>
      <c r="AU56" s="2">
        <v>38</v>
      </c>
      <c r="AV56" s="2">
        <v>1</v>
      </c>
      <c r="AW56" s="2">
        <v>1</v>
      </c>
      <c r="AX56" s="2"/>
      <c r="AY56" s="2"/>
      <c r="AZ56" s="2">
        <v>1</v>
      </c>
      <c r="BA56" s="2">
        <v>1</v>
      </c>
      <c r="BB56" s="2">
        <v>1</v>
      </c>
      <c r="BC56" s="2">
        <v>1</v>
      </c>
      <c r="BD56" s="2" t="s">
        <v>3</v>
      </c>
      <c r="BE56" s="2" t="s">
        <v>3</v>
      </c>
      <c r="BF56" s="2" t="s">
        <v>3</v>
      </c>
      <c r="BG56" s="2" t="s">
        <v>3</v>
      </c>
      <c r="BH56" s="2">
        <v>0</v>
      </c>
      <c r="BI56" s="2">
        <v>1</v>
      </c>
      <c r="BJ56" s="2" t="s">
        <v>114</v>
      </c>
      <c r="BK56" s="2"/>
      <c r="BL56" s="2"/>
      <c r="BM56" s="2">
        <v>1006</v>
      </c>
      <c r="BN56" s="2">
        <v>0</v>
      </c>
      <c r="BO56" s="2" t="s">
        <v>3</v>
      </c>
      <c r="BP56" s="2">
        <v>0</v>
      </c>
      <c r="BQ56" s="2">
        <v>2</v>
      </c>
      <c r="BR56" s="2">
        <v>0</v>
      </c>
      <c r="BS56" s="2">
        <v>1</v>
      </c>
      <c r="BT56" s="2">
        <v>1</v>
      </c>
      <c r="BU56" s="2">
        <v>1</v>
      </c>
      <c r="BV56" s="2">
        <v>1</v>
      </c>
      <c r="BW56" s="2">
        <v>1</v>
      </c>
      <c r="BX56" s="2">
        <v>1</v>
      </c>
      <c r="BY56" s="2" t="s">
        <v>3</v>
      </c>
      <c r="BZ56" s="2">
        <v>80</v>
      </c>
      <c r="CA56" s="2">
        <v>45</v>
      </c>
      <c r="CB56" s="2"/>
      <c r="CC56" s="2"/>
      <c r="CD56" s="2"/>
      <c r="CE56" s="2"/>
      <c r="CF56" s="2">
        <v>0</v>
      </c>
      <c r="CG56" s="2">
        <v>0</v>
      </c>
      <c r="CH56" s="2"/>
      <c r="CI56" s="2"/>
      <c r="CJ56" s="2"/>
      <c r="CK56" s="2"/>
      <c r="CL56" s="2"/>
      <c r="CM56" s="2">
        <v>0</v>
      </c>
      <c r="CN56" s="2" t="s">
        <v>3</v>
      </c>
      <c r="CO56" s="2">
        <v>0</v>
      </c>
      <c r="CP56" s="2">
        <f t="shared" si="31"/>
        <v>245.42</v>
      </c>
      <c r="CQ56" s="2">
        <f t="shared" si="32"/>
        <v>0</v>
      </c>
      <c r="CR56" s="2">
        <f t="shared" si="33"/>
        <v>0</v>
      </c>
      <c r="CS56" s="2">
        <f t="shared" si="34"/>
        <v>0</v>
      </c>
      <c r="CT56" s="2">
        <f t="shared" si="35"/>
        <v>981.66300000000001</v>
      </c>
      <c r="CU56" s="2">
        <f t="shared" si="36"/>
        <v>0</v>
      </c>
      <c r="CV56" s="2">
        <f t="shared" si="37"/>
        <v>141.44999999999999</v>
      </c>
      <c r="CW56" s="2">
        <f t="shared" si="38"/>
        <v>0</v>
      </c>
      <c r="CX56" s="2">
        <f t="shared" si="39"/>
        <v>0</v>
      </c>
      <c r="CY56" s="2">
        <f t="shared" si="40"/>
        <v>196.33599999999998</v>
      </c>
      <c r="CZ56" s="2">
        <f t="shared" si="41"/>
        <v>93.259599999999992</v>
      </c>
      <c r="DA56" s="2"/>
      <c r="DB56" s="2"/>
      <c r="DC56" s="2" t="s">
        <v>3</v>
      </c>
      <c r="DD56" s="2" t="s">
        <v>3</v>
      </c>
      <c r="DE56" s="2" t="s">
        <v>62</v>
      </c>
      <c r="DF56" s="2" t="s">
        <v>62</v>
      </c>
      <c r="DG56" s="2" t="s">
        <v>63</v>
      </c>
      <c r="DH56" s="2" t="s">
        <v>3</v>
      </c>
      <c r="DI56" s="2" t="s">
        <v>63</v>
      </c>
      <c r="DJ56" s="2" t="s">
        <v>62</v>
      </c>
      <c r="DK56" s="2" t="s">
        <v>3</v>
      </c>
      <c r="DL56" s="2" t="s">
        <v>3</v>
      </c>
      <c r="DM56" s="2" t="s">
        <v>3</v>
      </c>
      <c r="DN56" s="2">
        <v>0</v>
      </c>
      <c r="DO56" s="2">
        <v>0</v>
      </c>
      <c r="DP56" s="2">
        <v>1</v>
      </c>
      <c r="DQ56" s="2">
        <v>1</v>
      </c>
      <c r="DR56" s="2"/>
      <c r="DS56" s="2"/>
      <c r="DT56" s="2"/>
      <c r="DU56" s="2">
        <v>1013</v>
      </c>
      <c r="DV56" s="2" t="s">
        <v>113</v>
      </c>
      <c r="DW56" s="2" t="s">
        <v>113</v>
      </c>
      <c r="DX56" s="2">
        <v>1</v>
      </c>
      <c r="DY56" s="2"/>
      <c r="DZ56" s="2"/>
      <c r="EA56" s="2"/>
      <c r="EB56" s="2"/>
      <c r="EC56" s="2"/>
      <c r="ED56" s="2"/>
      <c r="EE56" s="2">
        <v>24085337</v>
      </c>
      <c r="EF56" s="2">
        <v>2</v>
      </c>
      <c r="EG56" s="2" t="s">
        <v>33</v>
      </c>
      <c r="EH56" s="2">
        <v>0</v>
      </c>
      <c r="EI56" s="2" t="s">
        <v>3</v>
      </c>
      <c r="EJ56" s="2">
        <v>1</v>
      </c>
      <c r="EK56" s="2">
        <v>1006</v>
      </c>
      <c r="EL56" s="2" t="s">
        <v>115</v>
      </c>
      <c r="EM56" s="2" t="s">
        <v>35</v>
      </c>
      <c r="EN56" s="2"/>
      <c r="EO56" s="2" t="s">
        <v>3</v>
      </c>
      <c r="EP56" s="2"/>
      <c r="EQ56" s="2">
        <v>0</v>
      </c>
      <c r="ER56" s="2">
        <v>853.62</v>
      </c>
      <c r="ES56" s="2">
        <v>0</v>
      </c>
      <c r="ET56" s="2">
        <v>0</v>
      </c>
      <c r="EU56" s="2">
        <v>0</v>
      </c>
      <c r="EV56" s="2">
        <v>853.62</v>
      </c>
      <c r="EW56" s="2">
        <v>123</v>
      </c>
      <c r="EX56" s="2">
        <v>0</v>
      </c>
      <c r="EY56" s="2">
        <v>0</v>
      </c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>
        <v>0</v>
      </c>
      <c r="FR56" s="2">
        <f t="shared" si="42"/>
        <v>0</v>
      </c>
      <c r="FS56" s="2">
        <v>0</v>
      </c>
      <c r="FT56" s="2"/>
      <c r="FU56" s="2" t="s">
        <v>21</v>
      </c>
      <c r="FV56" s="2"/>
      <c r="FW56" s="2"/>
      <c r="FX56" s="2">
        <v>80</v>
      </c>
      <c r="FY56" s="2">
        <v>38.25</v>
      </c>
      <c r="FZ56" s="2"/>
      <c r="GA56" s="2" t="s">
        <v>3</v>
      </c>
      <c r="GB56" s="2"/>
      <c r="GC56" s="2"/>
      <c r="GD56" s="2">
        <v>0</v>
      </c>
      <c r="GE56" s="2"/>
      <c r="GF56" s="2">
        <v>-1924346746</v>
      </c>
      <c r="GG56" s="2">
        <v>2</v>
      </c>
      <c r="GH56" s="2">
        <v>1</v>
      </c>
      <c r="GI56" s="2">
        <v>-2</v>
      </c>
      <c r="GJ56" s="2">
        <v>0</v>
      </c>
      <c r="GK56" s="2">
        <f>ROUND(R56*(R12)/100,2)</f>
        <v>0</v>
      </c>
      <c r="GL56" s="2">
        <f t="shared" si="43"/>
        <v>0</v>
      </c>
      <c r="GM56" s="2">
        <f t="shared" si="44"/>
        <v>535.02</v>
      </c>
      <c r="GN56" s="2">
        <f t="shared" si="45"/>
        <v>535.02</v>
      </c>
      <c r="GO56" s="2">
        <f t="shared" si="46"/>
        <v>0</v>
      </c>
      <c r="GP56" s="2">
        <f t="shared" si="47"/>
        <v>0</v>
      </c>
      <c r="GQ56" s="2"/>
      <c r="GR56" s="2">
        <v>0</v>
      </c>
      <c r="GS56" s="2">
        <v>3</v>
      </c>
      <c r="GT56" s="2">
        <v>0</v>
      </c>
      <c r="GU56" s="2" t="s">
        <v>3</v>
      </c>
      <c r="GV56" s="2">
        <f t="shared" si="48"/>
        <v>0</v>
      </c>
      <c r="GW56" s="2">
        <v>1</v>
      </c>
      <c r="GX56" s="2">
        <f t="shared" si="49"/>
        <v>0</v>
      </c>
      <c r="GY56" s="2"/>
      <c r="GZ56" s="2"/>
      <c r="HA56" s="2">
        <v>0</v>
      </c>
      <c r="HB56" s="2">
        <v>0</v>
      </c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>
        <v>0</v>
      </c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>
      <c r="A57">
        <v>17</v>
      </c>
      <c r="B57">
        <v>1</v>
      </c>
      <c r="C57">
        <f>ROW(SmtRes!A106)</f>
        <v>106</v>
      </c>
      <c r="D57">
        <f>ROW(EtalonRes!A104)</f>
        <v>104</v>
      </c>
      <c r="E57" t="s">
        <v>110</v>
      </c>
      <c r="F57" t="s">
        <v>111</v>
      </c>
      <c r="G57" t="s">
        <v>112</v>
      </c>
      <c r="H57" t="s">
        <v>113</v>
      </c>
      <c r="I57">
        <f>ROUND(250/1000,9)</f>
        <v>0.25</v>
      </c>
      <c r="J57">
        <v>0</v>
      </c>
      <c r="O57">
        <f t="shared" si="14"/>
        <v>4034.63</v>
      </c>
      <c r="P57">
        <f t="shared" si="15"/>
        <v>0</v>
      </c>
      <c r="Q57">
        <f t="shared" si="16"/>
        <v>0</v>
      </c>
      <c r="R57">
        <f t="shared" si="17"/>
        <v>0</v>
      </c>
      <c r="S57">
        <f t="shared" si="18"/>
        <v>4034.63</v>
      </c>
      <c r="T57">
        <f t="shared" si="19"/>
        <v>0</v>
      </c>
      <c r="U57">
        <f t="shared" si="20"/>
        <v>35.362499999999997</v>
      </c>
      <c r="V57">
        <f t="shared" si="21"/>
        <v>0</v>
      </c>
      <c r="W57">
        <f t="shared" si="22"/>
        <v>0</v>
      </c>
      <c r="X57">
        <f t="shared" si="23"/>
        <v>2743.55</v>
      </c>
      <c r="Y57">
        <f t="shared" si="24"/>
        <v>1250.74</v>
      </c>
      <c r="AA57">
        <v>34847877</v>
      </c>
      <c r="AB57">
        <f t="shared" si="25"/>
        <v>981.66300000000001</v>
      </c>
      <c r="AC57">
        <f t="shared" si="26"/>
        <v>0</v>
      </c>
      <c r="AD57">
        <f t="shared" si="54"/>
        <v>0</v>
      </c>
      <c r="AE57">
        <f t="shared" si="55"/>
        <v>0</v>
      </c>
      <c r="AF57">
        <f t="shared" si="56"/>
        <v>981.66300000000001</v>
      </c>
      <c r="AG57">
        <f t="shared" si="28"/>
        <v>0</v>
      </c>
      <c r="AH57">
        <f t="shared" si="57"/>
        <v>141.44999999999999</v>
      </c>
      <c r="AI57">
        <f t="shared" si="58"/>
        <v>0</v>
      </c>
      <c r="AJ57">
        <f t="shared" si="30"/>
        <v>0</v>
      </c>
      <c r="AK57">
        <v>853.62</v>
      </c>
      <c r="AL57">
        <v>0</v>
      </c>
      <c r="AM57">
        <v>0</v>
      </c>
      <c r="AN57">
        <v>0</v>
      </c>
      <c r="AO57">
        <v>853.62</v>
      </c>
      <c r="AP57">
        <v>0</v>
      </c>
      <c r="AQ57">
        <v>123</v>
      </c>
      <c r="AR57">
        <v>0</v>
      </c>
      <c r="AS57">
        <v>0</v>
      </c>
      <c r="AT57">
        <v>68</v>
      </c>
      <c r="AU57">
        <v>31</v>
      </c>
      <c r="AV57">
        <v>1</v>
      </c>
      <c r="AW57">
        <v>1</v>
      </c>
      <c r="AZ57">
        <v>1</v>
      </c>
      <c r="BA57">
        <v>16.440000000000001</v>
      </c>
      <c r="BB57">
        <v>6.21</v>
      </c>
      <c r="BC57">
        <v>5.9</v>
      </c>
      <c r="BD57" t="s">
        <v>3</v>
      </c>
      <c r="BE57" t="s">
        <v>3</v>
      </c>
      <c r="BF57" t="s">
        <v>3</v>
      </c>
      <c r="BG57" t="s">
        <v>3</v>
      </c>
      <c r="BH57">
        <v>0</v>
      </c>
      <c r="BI57">
        <v>1</v>
      </c>
      <c r="BJ57" t="s">
        <v>114</v>
      </c>
      <c r="BM57">
        <v>1006</v>
      </c>
      <c r="BN57">
        <v>0</v>
      </c>
      <c r="BO57" t="s">
        <v>3</v>
      </c>
      <c r="BP57">
        <v>0</v>
      </c>
      <c r="BQ57">
        <v>2</v>
      </c>
      <c r="BR57">
        <v>0</v>
      </c>
      <c r="BS57">
        <v>16.440000000000001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80</v>
      </c>
      <c r="CA57">
        <v>45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 t="shared" si="31"/>
        <v>4034.63</v>
      </c>
      <c r="CQ57">
        <f t="shared" si="32"/>
        <v>0</v>
      </c>
      <c r="CR57">
        <f t="shared" si="33"/>
        <v>0</v>
      </c>
      <c r="CS57">
        <f t="shared" si="34"/>
        <v>0</v>
      </c>
      <c r="CT57">
        <f t="shared" si="35"/>
        <v>16138.539720000001</v>
      </c>
      <c r="CU57">
        <f t="shared" si="36"/>
        <v>0</v>
      </c>
      <c r="CV57">
        <f t="shared" si="37"/>
        <v>141.44999999999999</v>
      </c>
      <c r="CW57">
        <f t="shared" si="38"/>
        <v>0</v>
      </c>
      <c r="CX57">
        <f t="shared" si="39"/>
        <v>0</v>
      </c>
      <c r="CY57">
        <f t="shared" si="40"/>
        <v>2743.5484000000001</v>
      </c>
      <c r="CZ57">
        <f t="shared" si="41"/>
        <v>1250.7353000000001</v>
      </c>
      <c r="DC57" t="s">
        <v>3</v>
      </c>
      <c r="DD57" t="s">
        <v>3</v>
      </c>
      <c r="DE57" t="s">
        <v>62</v>
      </c>
      <c r="DF57" t="s">
        <v>62</v>
      </c>
      <c r="DG57" t="s">
        <v>63</v>
      </c>
      <c r="DH57" t="s">
        <v>3</v>
      </c>
      <c r="DI57" t="s">
        <v>63</v>
      </c>
      <c r="DJ57" t="s">
        <v>62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1013</v>
      </c>
      <c r="DV57" t="s">
        <v>113</v>
      </c>
      <c r="DW57" t="s">
        <v>113</v>
      </c>
      <c r="DX57">
        <v>1</v>
      </c>
      <c r="EE57">
        <v>24085337</v>
      </c>
      <c r="EF57">
        <v>2</v>
      </c>
      <c r="EG57" t="s">
        <v>33</v>
      </c>
      <c r="EH57">
        <v>0</v>
      </c>
      <c r="EI57" t="s">
        <v>3</v>
      </c>
      <c r="EJ57">
        <v>1</v>
      </c>
      <c r="EK57">
        <v>1006</v>
      </c>
      <c r="EL57" t="s">
        <v>115</v>
      </c>
      <c r="EM57" t="s">
        <v>35</v>
      </c>
      <c r="EO57" t="s">
        <v>3</v>
      </c>
      <c r="EQ57">
        <v>0</v>
      </c>
      <c r="ER57">
        <v>853.62</v>
      </c>
      <c r="ES57">
        <v>0</v>
      </c>
      <c r="ET57">
        <v>0</v>
      </c>
      <c r="EU57">
        <v>0</v>
      </c>
      <c r="EV57">
        <v>853.62</v>
      </c>
      <c r="EW57">
        <v>123</v>
      </c>
      <c r="EX57">
        <v>0</v>
      </c>
      <c r="EY57">
        <v>0</v>
      </c>
      <c r="FQ57">
        <v>0</v>
      </c>
      <c r="FR57">
        <f t="shared" si="42"/>
        <v>0</v>
      </c>
      <c r="FS57">
        <v>0</v>
      </c>
      <c r="FU57" t="s">
        <v>21</v>
      </c>
      <c r="FV57" t="s">
        <v>21</v>
      </c>
      <c r="FW57" t="s">
        <v>22</v>
      </c>
      <c r="FX57">
        <v>80</v>
      </c>
      <c r="FY57">
        <v>38.25</v>
      </c>
      <c r="GA57" t="s">
        <v>3</v>
      </c>
      <c r="GD57">
        <v>0</v>
      </c>
      <c r="GF57">
        <v>-1924346746</v>
      </c>
      <c r="GG57">
        <v>2</v>
      </c>
      <c r="GH57">
        <v>1</v>
      </c>
      <c r="GI57">
        <v>4</v>
      </c>
      <c r="GJ57">
        <v>0</v>
      </c>
      <c r="GK57">
        <f>ROUND(R57*(S12)/100,2)</f>
        <v>0</v>
      </c>
      <c r="GL57">
        <f t="shared" si="43"/>
        <v>0</v>
      </c>
      <c r="GM57">
        <f t="shared" si="44"/>
        <v>8028.92</v>
      </c>
      <c r="GN57">
        <f t="shared" si="45"/>
        <v>8028.92</v>
      </c>
      <c r="GO57">
        <f t="shared" si="46"/>
        <v>0</v>
      </c>
      <c r="GP57">
        <f t="shared" si="47"/>
        <v>0</v>
      </c>
      <c r="GR57">
        <v>0</v>
      </c>
      <c r="GS57">
        <v>3</v>
      </c>
      <c r="GT57">
        <v>0</v>
      </c>
      <c r="GU57" t="s">
        <v>3</v>
      </c>
      <c r="GV57">
        <f t="shared" si="48"/>
        <v>0</v>
      </c>
      <c r="GW57">
        <v>1</v>
      </c>
      <c r="GX57">
        <f t="shared" si="49"/>
        <v>0</v>
      </c>
      <c r="HA57">
        <v>0</v>
      </c>
      <c r="HB57">
        <v>0</v>
      </c>
      <c r="IK57">
        <v>0</v>
      </c>
    </row>
    <row r="58" spans="1:255">
      <c r="A58" s="2">
        <v>17</v>
      </c>
      <c r="B58" s="2">
        <v>1</v>
      </c>
      <c r="C58" s="2">
        <f>ROW(SmtRes!A108)</f>
        <v>108</v>
      </c>
      <c r="D58" s="2">
        <f>ROW(EtalonRes!A106)</f>
        <v>106</v>
      </c>
      <c r="E58" s="2" t="s">
        <v>116</v>
      </c>
      <c r="F58" s="2" t="s">
        <v>117</v>
      </c>
      <c r="G58" s="2" t="s">
        <v>118</v>
      </c>
      <c r="H58" s="2" t="s">
        <v>119</v>
      </c>
      <c r="I58" s="2">
        <f>ROUND(250/100,9)</f>
        <v>2.5</v>
      </c>
      <c r="J58" s="2">
        <v>0</v>
      </c>
      <c r="K58" s="2"/>
      <c r="L58" s="2"/>
      <c r="M58" s="2"/>
      <c r="N58" s="2"/>
      <c r="O58" s="2">
        <f t="shared" si="14"/>
        <v>5461.9</v>
      </c>
      <c r="P58" s="2">
        <f t="shared" si="15"/>
        <v>4719</v>
      </c>
      <c r="Q58" s="2">
        <f t="shared" si="16"/>
        <v>0</v>
      </c>
      <c r="R58" s="2">
        <f t="shared" si="17"/>
        <v>0</v>
      </c>
      <c r="S58" s="2">
        <f t="shared" si="18"/>
        <v>742.9</v>
      </c>
      <c r="T58" s="2">
        <f t="shared" si="19"/>
        <v>0</v>
      </c>
      <c r="U58" s="2">
        <f t="shared" si="20"/>
        <v>115</v>
      </c>
      <c r="V58" s="2">
        <f t="shared" si="21"/>
        <v>0</v>
      </c>
      <c r="W58" s="2">
        <f t="shared" si="22"/>
        <v>0</v>
      </c>
      <c r="X58" s="2">
        <f t="shared" si="23"/>
        <v>854.34</v>
      </c>
      <c r="Y58" s="2">
        <f t="shared" si="24"/>
        <v>572.03</v>
      </c>
      <c r="Z58" s="2"/>
      <c r="AA58" s="2">
        <v>34847864</v>
      </c>
      <c r="AB58" s="2">
        <f t="shared" si="25"/>
        <v>2184.7600000000002</v>
      </c>
      <c r="AC58" s="2">
        <f t="shared" si="26"/>
        <v>1887.6</v>
      </c>
      <c r="AD58" s="2">
        <f t="shared" si="54"/>
        <v>0</v>
      </c>
      <c r="AE58" s="2">
        <f t="shared" si="55"/>
        <v>0</v>
      </c>
      <c r="AF58" s="2">
        <f t="shared" si="56"/>
        <v>297.16000000000003</v>
      </c>
      <c r="AG58" s="2">
        <f t="shared" si="28"/>
        <v>0</v>
      </c>
      <c r="AH58" s="2">
        <f t="shared" si="57"/>
        <v>46</v>
      </c>
      <c r="AI58" s="2">
        <f t="shared" si="58"/>
        <v>0</v>
      </c>
      <c r="AJ58" s="2">
        <f t="shared" si="30"/>
        <v>0</v>
      </c>
      <c r="AK58" s="2">
        <v>2146</v>
      </c>
      <c r="AL58" s="2">
        <v>1887.6</v>
      </c>
      <c r="AM58" s="2">
        <v>0</v>
      </c>
      <c r="AN58" s="2">
        <v>0</v>
      </c>
      <c r="AO58" s="2">
        <v>258.39999999999998</v>
      </c>
      <c r="AP58" s="2">
        <v>0</v>
      </c>
      <c r="AQ58" s="2">
        <v>40</v>
      </c>
      <c r="AR58" s="2">
        <v>0</v>
      </c>
      <c r="AS58" s="2">
        <v>0</v>
      </c>
      <c r="AT58" s="2">
        <v>115</v>
      </c>
      <c r="AU58" s="2">
        <v>77</v>
      </c>
      <c r="AV58" s="2">
        <v>1</v>
      </c>
      <c r="AW58" s="2">
        <v>1</v>
      </c>
      <c r="AX58" s="2"/>
      <c r="AY58" s="2"/>
      <c r="AZ58" s="2">
        <v>1</v>
      </c>
      <c r="BA58" s="2">
        <v>1</v>
      </c>
      <c r="BB58" s="2">
        <v>1</v>
      </c>
      <c r="BC58" s="2">
        <v>1</v>
      </c>
      <c r="BD58" s="2" t="s">
        <v>3</v>
      </c>
      <c r="BE58" s="2" t="s">
        <v>3</v>
      </c>
      <c r="BF58" s="2" t="s">
        <v>3</v>
      </c>
      <c r="BG58" s="2" t="s">
        <v>3</v>
      </c>
      <c r="BH58" s="2">
        <v>0</v>
      </c>
      <c r="BI58" s="2">
        <v>1</v>
      </c>
      <c r="BJ58" s="2" t="s">
        <v>120</v>
      </c>
      <c r="BK58" s="2"/>
      <c r="BL58" s="2"/>
      <c r="BM58" s="2">
        <v>47001</v>
      </c>
      <c r="BN58" s="2">
        <v>0</v>
      </c>
      <c r="BO58" s="2" t="s">
        <v>3</v>
      </c>
      <c r="BP58" s="2">
        <v>0</v>
      </c>
      <c r="BQ58" s="2">
        <v>2</v>
      </c>
      <c r="BR58" s="2">
        <v>0</v>
      </c>
      <c r="BS58" s="2">
        <v>1</v>
      </c>
      <c r="BT58" s="2">
        <v>1</v>
      </c>
      <c r="BU58" s="2">
        <v>1</v>
      </c>
      <c r="BV58" s="2">
        <v>1</v>
      </c>
      <c r="BW58" s="2">
        <v>1</v>
      </c>
      <c r="BX58" s="2">
        <v>1</v>
      </c>
      <c r="BY58" s="2" t="s">
        <v>3</v>
      </c>
      <c r="BZ58" s="2">
        <v>115</v>
      </c>
      <c r="CA58" s="2">
        <v>90</v>
      </c>
      <c r="CB58" s="2"/>
      <c r="CC58" s="2"/>
      <c r="CD58" s="2"/>
      <c r="CE58" s="2"/>
      <c r="CF58" s="2">
        <v>0</v>
      </c>
      <c r="CG58" s="2">
        <v>0</v>
      </c>
      <c r="CH58" s="2"/>
      <c r="CI58" s="2"/>
      <c r="CJ58" s="2"/>
      <c r="CK58" s="2"/>
      <c r="CL58" s="2"/>
      <c r="CM58" s="2">
        <v>0</v>
      </c>
      <c r="CN58" s="2" t="s">
        <v>3</v>
      </c>
      <c r="CO58" s="2">
        <v>0</v>
      </c>
      <c r="CP58" s="2">
        <f t="shared" si="31"/>
        <v>5461.9</v>
      </c>
      <c r="CQ58" s="2">
        <f t="shared" si="32"/>
        <v>1887.6</v>
      </c>
      <c r="CR58" s="2">
        <f t="shared" si="33"/>
        <v>0</v>
      </c>
      <c r="CS58" s="2">
        <f t="shared" si="34"/>
        <v>0</v>
      </c>
      <c r="CT58" s="2">
        <f t="shared" si="35"/>
        <v>297.16000000000003</v>
      </c>
      <c r="CU58" s="2">
        <f t="shared" si="36"/>
        <v>0</v>
      </c>
      <c r="CV58" s="2">
        <f t="shared" si="37"/>
        <v>46</v>
      </c>
      <c r="CW58" s="2">
        <f t="shared" si="38"/>
        <v>0</v>
      </c>
      <c r="CX58" s="2">
        <f t="shared" si="39"/>
        <v>0</v>
      </c>
      <c r="CY58" s="2">
        <f t="shared" si="40"/>
        <v>854.33500000000004</v>
      </c>
      <c r="CZ58" s="2">
        <f t="shared" si="41"/>
        <v>572.0329999999999</v>
      </c>
      <c r="DA58" s="2"/>
      <c r="DB58" s="2"/>
      <c r="DC58" s="2" t="s">
        <v>3</v>
      </c>
      <c r="DD58" s="2" t="s">
        <v>3</v>
      </c>
      <c r="DE58" s="2" t="s">
        <v>62</v>
      </c>
      <c r="DF58" s="2" t="s">
        <v>62</v>
      </c>
      <c r="DG58" s="2" t="s">
        <v>63</v>
      </c>
      <c r="DH58" s="2" t="s">
        <v>3</v>
      </c>
      <c r="DI58" s="2" t="s">
        <v>63</v>
      </c>
      <c r="DJ58" s="2" t="s">
        <v>62</v>
      </c>
      <c r="DK58" s="2" t="s">
        <v>3</v>
      </c>
      <c r="DL58" s="2" t="s">
        <v>3</v>
      </c>
      <c r="DM58" s="2" t="s">
        <v>3</v>
      </c>
      <c r="DN58" s="2">
        <v>0</v>
      </c>
      <c r="DO58" s="2">
        <v>0</v>
      </c>
      <c r="DP58" s="2">
        <v>1</v>
      </c>
      <c r="DQ58" s="2">
        <v>1</v>
      </c>
      <c r="DR58" s="2"/>
      <c r="DS58" s="2"/>
      <c r="DT58" s="2"/>
      <c r="DU58" s="2">
        <v>1005</v>
      </c>
      <c r="DV58" s="2" t="s">
        <v>119</v>
      </c>
      <c r="DW58" s="2" t="s">
        <v>119</v>
      </c>
      <c r="DX58" s="2">
        <v>100</v>
      </c>
      <c r="DY58" s="2"/>
      <c r="DZ58" s="2"/>
      <c r="EA58" s="2"/>
      <c r="EB58" s="2"/>
      <c r="EC58" s="2"/>
      <c r="ED58" s="2"/>
      <c r="EE58" s="2">
        <v>24085429</v>
      </c>
      <c r="EF58" s="2">
        <v>2</v>
      </c>
      <c r="EG58" s="2" t="s">
        <v>33</v>
      </c>
      <c r="EH58" s="2">
        <v>0</v>
      </c>
      <c r="EI58" s="2" t="s">
        <v>3</v>
      </c>
      <c r="EJ58" s="2">
        <v>1</v>
      </c>
      <c r="EK58" s="2">
        <v>47001</v>
      </c>
      <c r="EL58" s="2" t="s">
        <v>49</v>
      </c>
      <c r="EM58" s="2" t="s">
        <v>50</v>
      </c>
      <c r="EN58" s="2"/>
      <c r="EO58" s="2" t="s">
        <v>3</v>
      </c>
      <c r="EP58" s="2"/>
      <c r="EQ58" s="2">
        <v>0</v>
      </c>
      <c r="ER58" s="2">
        <v>2146</v>
      </c>
      <c r="ES58" s="2">
        <v>1887.6</v>
      </c>
      <c r="ET58" s="2">
        <v>0</v>
      </c>
      <c r="EU58" s="2">
        <v>0</v>
      </c>
      <c r="EV58" s="2">
        <v>258.39999999999998</v>
      </c>
      <c r="EW58" s="2">
        <v>40</v>
      </c>
      <c r="EX58" s="2">
        <v>0</v>
      </c>
      <c r="EY58" s="2">
        <v>0</v>
      </c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>
        <v>0</v>
      </c>
      <c r="FR58" s="2">
        <f t="shared" si="42"/>
        <v>0</v>
      </c>
      <c r="FS58" s="2">
        <v>0</v>
      </c>
      <c r="FT58" s="2"/>
      <c r="FU58" s="2" t="s">
        <v>21</v>
      </c>
      <c r="FV58" s="2"/>
      <c r="FW58" s="2"/>
      <c r="FX58" s="2">
        <v>115</v>
      </c>
      <c r="FY58" s="2">
        <v>76.5</v>
      </c>
      <c r="FZ58" s="2"/>
      <c r="GA58" s="2" t="s">
        <v>3</v>
      </c>
      <c r="GB58" s="2"/>
      <c r="GC58" s="2"/>
      <c r="GD58" s="2">
        <v>0</v>
      </c>
      <c r="GE58" s="2"/>
      <c r="GF58" s="2">
        <v>2041487383</v>
      </c>
      <c r="GG58" s="2">
        <v>2</v>
      </c>
      <c r="GH58" s="2">
        <v>1</v>
      </c>
      <c r="GI58" s="2">
        <v>-2</v>
      </c>
      <c r="GJ58" s="2">
        <v>0</v>
      </c>
      <c r="GK58" s="2">
        <f>ROUND(R58*(R12)/100,2)</f>
        <v>0</v>
      </c>
      <c r="GL58" s="2">
        <f t="shared" si="43"/>
        <v>0</v>
      </c>
      <c r="GM58" s="2">
        <f t="shared" si="44"/>
        <v>6888.27</v>
      </c>
      <c r="GN58" s="2">
        <f t="shared" si="45"/>
        <v>6888.27</v>
      </c>
      <c r="GO58" s="2">
        <f t="shared" si="46"/>
        <v>0</v>
      </c>
      <c r="GP58" s="2">
        <f t="shared" si="47"/>
        <v>0</v>
      </c>
      <c r="GQ58" s="2"/>
      <c r="GR58" s="2">
        <v>0</v>
      </c>
      <c r="GS58" s="2">
        <v>3</v>
      </c>
      <c r="GT58" s="2">
        <v>0</v>
      </c>
      <c r="GU58" s="2" t="s">
        <v>3</v>
      </c>
      <c r="GV58" s="2">
        <f t="shared" si="48"/>
        <v>0</v>
      </c>
      <c r="GW58" s="2">
        <v>1</v>
      </c>
      <c r="GX58" s="2">
        <f t="shared" si="49"/>
        <v>0</v>
      </c>
      <c r="GY58" s="2"/>
      <c r="GZ58" s="2"/>
      <c r="HA58" s="2">
        <v>0</v>
      </c>
      <c r="HB58" s="2">
        <v>0</v>
      </c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>
        <v>0</v>
      </c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pans="1:255">
      <c r="A59">
        <v>17</v>
      </c>
      <c r="B59">
        <v>1</v>
      </c>
      <c r="C59">
        <f>ROW(SmtRes!A110)</f>
        <v>110</v>
      </c>
      <c r="D59">
        <f>ROW(EtalonRes!A108)</f>
        <v>108</v>
      </c>
      <c r="E59" t="s">
        <v>116</v>
      </c>
      <c r="F59" t="s">
        <v>117</v>
      </c>
      <c r="G59" t="s">
        <v>118</v>
      </c>
      <c r="H59" t="s">
        <v>119</v>
      </c>
      <c r="I59">
        <f>ROUND(250/100,9)</f>
        <v>2.5</v>
      </c>
      <c r="J59">
        <v>0</v>
      </c>
      <c r="O59">
        <f t="shared" si="14"/>
        <v>40055.379999999997</v>
      </c>
      <c r="P59">
        <f t="shared" si="15"/>
        <v>27842.1</v>
      </c>
      <c r="Q59">
        <f t="shared" si="16"/>
        <v>0</v>
      </c>
      <c r="R59">
        <f t="shared" si="17"/>
        <v>0</v>
      </c>
      <c r="S59">
        <f t="shared" si="18"/>
        <v>12213.28</v>
      </c>
      <c r="T59">
        <f t="shared" si="19"/>
        <v>0</v>
      </c>
      <c r="U59">
        <f t="shared" si="20"/>
        <v>115</v>
      </c>
      <c r="V59">
        <f t="shared" si="21"/>
        <v>0</v>
      </c>
      <c r="W59">
        <f t="shared" si="22"/>
        <v>0</v>
      </c>
      <c r="X59">
        <f t="shared" si="23"/>
        <v>11969.01</v>
      </c>
      <c r="Y59">
        <f t="shared" si="24"/>
        <v>7450.1</v>
      </c>
      <c r="AA59">
        <v>34847877</v>
      </c>
      <c r="AB59">
        <f t="shared" si="25"/>
        <v>2184.7600000000002</v>
      </c>
      <c r="AC59">
        <f t="shared" si="26"/>
        <v>1887.6</v>
      </c>
      <c r="AD59">
        <f t="shared" si="54"/>
        <v>0</v>
      </c>
      <c r="AE59">
        <f t="shared" si="55"/>
        <v>0</v>
      </c>
      <c r="AF59">
        <f t="shared" si="56"/>
        <v>297.16000000000003</v>
      </c>
      <c r="AG59">
        <f t="shared" si="28"/>
        <v>0</v>
      </c>
      <c r="AH59">
        <f t="shared" si="57"/>
        <v>46</v>
      </c>
      <c r="AI59">
        <f t="shared" si="58"/>
        <v>0</v>
      </c>
      <c r="AJ59">
        <f t="shared" si="30"/>
        <v>0</v>
      </c>
      <c r="AK59">
        <v>2146</v>
      </c>
      <c r="AL59">
        <v>1887.6</v>
      </c>
      <c r="AM59">
        <v>0</v>
      </c>
      <c r="AN59">
        <v>0</v>
      </c>
      <c r="AO59">
        <v>258.39999999999998</v>
      </c>
      <c r="AP59">
        <v>0</v>
      </c>
      <c r="AQ59">
        <v>40</v>
      </c>
      <c r="AR59">
        <v>0</v>
      </c>
      <c r="AS59">
        <v>0</v>
      </c>
      <c r="AT59">
        <v>98</v>
      </c>
      <c r="AU59">
        <v>61</v>
      </c>
      <c r="AV59">
        <v>1</v>
      </c>
      <c r="AW59">
        <v>1</v>
      </c>
      <c r="AZ59">
        <v>1</v>
      </c>
      <c r="BA59">
        <v>16.440000000000001</v>
      </c>
      <c r="BB59">
        <v>6.21</v>
      </c>
      <c r="BC59">
        <v>5.9</v>
      </c>
      <c r="BD59" t="s">
        <v>3</v>
      </c>
      <c r="BE59" t="s">
        <v>3</v>
      </c>
      <c r="BF59" t="s">
        <v>3</v>
      </c>
      <c r="BG59" t="s">
        <v>3</v>
      </c>
      <c r="BH59">
        <v>0</v>
      </c>
      <c r="BI59">
        <v>1</v>
      </c>
      <c r="BJ59" t="s">
        <v>120</v>
      </c>
      <c r="BM59">
        <v>47001</v>
      </c>
      <c r="BN59">
        <v>0</v>
      </c>
      <c r="BO59" t="s">
        <v>3</v>
      </c>
      <c r="BP59">
        <v>0</v>
      </c>
      <c r="BQ59">
        <v>2</v>
      </c>
      <c r="BR59">
        <v>0</v>
      </c>
      <c r="BS59">
        <v>16.440000000000001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115</v>
      </c>
      <c r="CA59">
        <v>90</v>
      </c>
      <c r="CF59">
        <v>0</v>
      </c>
      <c r="CG59">
        <v>0</v>
      </c>
      <c r="CM59">
        <v>0</v>
      </c>
      <c r="CN59" t="s">
        <v>3</v>
      </c>
      <c r="CO59">
        <v>0</v>
      </c>
      <c r="CP59">
        <f t="shared" si="31"/>
        <v>40055.379999999997</v>
      </c>
      <c r="CQ59">
        <f t="shared" si="32"/>
        <v>11136.84</v>
      </c>
      <c r="CR59">
        <f t="shared" si="33"/>
        <v>0</v>
      </c>
      <c r="CS59">
        <f t="shared" si="34"/>
        <v>0</v>
      </c>
      <c r="CT59">
        <f t="shared" si="35"/>
        <v>4885.3104000000012</v>
      </c>
      <c r="CU59">
        <f t="shared" si="36"/>
        <v>0</v>
      </c>
      <c r="CV59">
        <f t="shared" si="37"/>
        <v>46</v>
      </c>
      <c r="CW59">
        <f t="shared" si="38"/>
        <v>0</v>
      </c>
      <c r="CX59">
        <f t="shared" si="39"/>
        <v>0</v>
      </c>
      <c r="CY59">
        <f t="shared" si="40"/>
        <v>11969.014400000002</v>
      </c>
      <c r="CZ59">
        <f t="shared" si="41"/>
        <v>7450.1008000000011</v>
      </c>
      <c r="DC59" t="s">
        <v>3</v>
      </c>
      <c r="DD59" t="s">
        <v>3</v>
      </c>
      <c r="DE59" t="s">
        <v>62</v>
      </c>
      <c r="DF59" t="s">
        <v>62</v>
      </c>
      <c r="DG59" t="s">
        <v>63</v>
      </c>
      <c r="DH59" t="s">
        <v>3</v>
      </c>
      <c r="DI59" t="s">
        <v>63</v>
      </c>
      <c r="DJ59" t="s">
        <v>62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1005</v>
      </c>
      <c r="DV59" t="s">
        <v>119</v>
      </c>
      <c r="DW59" t="s">
        <v>119</v>
      </c>
      <c r="DX59">
        <v>100</v>
      </c>
      <c r="EE59">
        <v>24085429</v>
      </c>
      <c r="EF59">
        <v>2</v>
      </c>
      <c r="EG59" t="s">
        <v>33</v>
      </c>
      <c r="EH59">
        <v>0</v>
      </c>
      <c r="EI59" t="s">
        <v>3</v>
      </c>
      <c r="EJ59">
        <v>1</v>
      </c>
      <c r="EK59">
        <v>47001</v>
      </c>
      <c r="EL59" t="s">
        <v>49</v>
      </c>
      <c r="EM59" t="s">
        <v>50</v>
      </c>
      <c r="EO59" t="s">
        <v>3</v>
      </c>
      <c r="EQ59">
        <v>0</v>
      </c>
      <c r="ER59">
        <v>2146</v>
      </c>
      <c r="ES59">
        <v>1887.6</v>
      </c>
      <c r="ET59">
        <v>0</v>
      </c>
      <c r="EU59">
        <v>0</v>
      </c>
      <c r="EV59">
        <v>258.39999999999998</v>
      </c>
      <c r="EW59">
        <v>40</v>
      </c>
      <c r="EX59">
        <v>0</v>
      </c>
      <c r="EY59">
        <v>0</v>
      </c>
      <c r="FQ59">
        <v>0</v>
      </c>
      <c r="FR59">
        <f t="shared" si="42"/>
        <v>0</v>
      </c>
      <c r="FS59">
        <v>0</v>
      </c>
      <c r="FU59" t="s">
        <v>21</v>
      </c>
      <c r="FV59" t="s">
        <v>21</v>
      </c>
      <c r="FW59" t="s">
        <v>22</v>
      </c>
      <c r="FX59">
        <v>115</v>
      </c>
      <c r="FY59">
        <v>76.5</v>
      </c>
      <c r="GA59" t="s">
        <v>3</v>
      </c>
      <c r="GD59">
        <v>0</v>
      </c>
      <c r="GF59">
        <v>2041487383</v>
      </c>
      <c r="GG59">
        <v>2</v>
      </c>
      <c r="GH59">
        <v>1</v>
      </c>
      <c r="GI59">
        <v>4</v>
      </c>
      <c r="GJ59">
        <v>0</v>
      </c>
      <c r="GK59">
        <f>ROUND(R59*(S12)/100,2)</f>
        <v>0</v>
      </c>
      <c r="GL59">
        <f t="shared" si="43"/>
        <v>0</v>
      </c>
      <c r="GM59">
        <f t="shared" si="44"/>
        <v>59474.49</v>
      </c>
      <c r="GN59">
        <f t="shared" si="45"/>
        <v>59474.49</v>
      </c>
      <c r="GO59">
        <f t="shared" si="46"/>
        <v>0</v>
      </c>
      <c r="GP59">
        <f t="shared" si="47"/>
        <v>0</v>
      </c>
      <c r="GR59">
        <v>0</v>
      </c>
      <c r="GS59">
        <v>3</v>
      </c>
      <c r="GT59">
        <v>0</v>
      </c>
      <c r="GU59" t="s">
        <v>3</v>
      </c>
      <c r="GV59">
        <f t="shared" si="48"/>
        <v>0</v>
      </c>
      <c r="GW59">
        <v>1</v>
      </c>
      <c r="GX59">
        <f t="shared" si="49"/>
        <v>0</v>
      </c>
      <c r="HA59">
        <v>0</v>
      </c>
      <c r="HB59">
        <v>0</v>
      </c>
      <c r="IK59">
        <v>0</v>
      </c>
    </row>
    <row r="60" spans="1:255">
      <c r="A60" s="2">
        <v>17</v>
      </c>
      <c r="B60" s="2">
        <v>1</v>
      </c>
      <c r="C60" s="2">
        <f>ROW(SmtRes!A114)</f>
        <v>114</v>
      </c>
      <c r="D60" s="2">
        <f>ROW(EtalonRes!A112)</f>
        <v>112</v>
      </c>
      <c r="E60" s="2" t="s">
        <v>121</v>
      </c>
      <c r="F60" s="2" t="s">
        <v>122</v>
      </c>
      <c r="G60" s="2" t="s">
        <v>123</v>
      </c>
      <c r="H60" s="2" t="s">
        <v>124</v>
      </c>
      <c r="I60" s="2">
        <v>2.5000000000000001E-2</v>
      </c>
      <c r="J60" s="2">
        <v>0</v>
      </c>
      <c r="K60" s="2"/>
      <c r="L60" s="2"/>
      <c r="M60" s="2"/>
      <c r="N60" s="2"/>
      <c r="O60" s="2">
        <f t="shared" si="14"/>
        <v>1.92</v>
      </c>
      <c r="P60" s="2">
        <f t="shared" si="15"/>
        <v>0</v>
      </c>
      <c r="Q60" s="2">
        <f t="shared" si="16"/>
        <v>1.92</v>
      </c>
      <c r="R60" s="2">
        <f t="shared" si="17"/>
        <v>0.21</v>
      </c>
      <c r="S60" s="2">
        <f t="shared" si="18"/>
        <v>0</v>
      </c>
      <c r="T60" s="2">
        <f t="shared" si="19"/>
        <v>0</v>
      </c>
      <c r="U60" s="2">
        <f t="shared" si="20"/>
        <v>0</v>
      </c>
      <c r="V60" s="2">
        <f t="shared" si="21"/>
        <v>1.5625E-2</v>
      </c>
      <c r="W60" s="2">
        <f t="shared" si="22"/>
        <v>0</v>
      </c>
      <c r="X60" s="2">
        <f t="shared" si="23"/>
        <v>0.24</v>
      </c>
      <c r="Y60" s="2">
        <f t="shared" si="24"/>
        <v>0.16</v>
      </c>
      <c r="Z60" s="2"/>
      <c r="AA60" s="2">
        <v>34847864</v>
      </c>
      <c r="AB60" s="2">
        <f t="shared" si="25"/>
        <v>76.612499999999997</v>
      </c>
      <c r="AC60" s="2">
        <f t="shared" si="26"/>
        <v>0</v>
      </c>
      <c r="AD60" s="2">
        <f t="shared" si="54"/>
        <v>76.612499999999997</v>
      </c>
      <c r="AE60" s="2">
        <f t="shared" si="55"/>
        <v>8.2874999999999996</v>
      </c>
      <c r="AF60" s="2">
        <f t="shared" si="56"/>
        <v>0</v>
      </c>
      <c r="AG60" s="2">
        <f t="shared" si="28"/>
        <v>0</v>
      </c>
      <c r="AH60" s="2">
        <f t="shared" si="57"/>
        <v>0</v>
      </c>
      <c r="AI60" s="2">
        <f t="shared" si="58"/>
        <v>0.625</v>
      </c>
      <c r="AJ60" s="2">
        <f t="shared" si="30"/>
        <v>0</v>
      </c>
      <c r="AK60" s="2">
        <v>61.29</v>
      </c>
      <c r="AL60" s="2">
        <v>0</v>
      </c>
      <c r="AM60" s="2">
        <v>61.29</v>
      </c>
      <c r="AN60" s="2">
        <v>6.63</v>
      </c>
      <c r="AO60" s="2">
        <v>0</v>
      </c>
      <c r="AP60" s="2">
        <v>0</v>
      </c>
      <c r="AQ60" s="2">
        <v>0</v>
      </c>
      <c r="AR60" s="2">
        <v>0.5</v>
      </c>
      <c r="AS60" s="2">
        <v>0</v>
      </c>
      <c r="AT60" s="2">
        <v>115</v>
      </c>
      <c r="AU60" s="2">
        <v>77</v>
      </c>
      <c r="AV60" s="2">
        <v>1</v>
      </c>
      <c r="AW60" s="2">
        <v>1</v>
      </c>
      <c r="AX60" s="2"/>
      <c r="AY60" s="2"/>
      <c r="AZ60" s="2">
        <v>1</v>
      </c>
      <c r="BA60" s="2">
        <v>1</v>
      </c>
      <c r="BB60" s="2">
        <v>1</v>
      </c>
      <c r="BC60" s="2">
        <v>1</v>
      </c>
      <c r="BD60" s="2" t="s">
        <v>3</v>
      </c>
      <c r="BE60" s="2" t="s">
        <v>3</v>
      </c>
      <c r="BF60" s="2" t="s">
        <v>3</v>
      </c>
      <c r="BG60" s="2" t="s">
        <v>3</v>
      </c>
      <c r="BH60" s="2">
        <v>0</v>
      </c>
      <c r="BI60" s="2">
        <v>1</v>
      </c>
      <c r="BJ60" s="2" t="s">
        <v>125</v>
      </c>
      <c r="BK60" s="2"/>
      <c r="BL60" s="2"/>
      <c r="BM60" s="2">
        <v>47001</v>
      </c>
      <c r="BN60" s="2">
        <v>0</v>
      </c>
      <c r="BO60" s="2" t="s">
        <v>3</v>
      </c>
      <c r="BP60" s="2">
        <v>0</v>
      </c>
      <c r="BQ60" s="2">
        <v>2</v>
      </c>
      <c r="BR60" s="2">
        <v>0</v>
      </c>
      <c r="BS60" s="2">
        <v>1</v>
      </c>
      <c r="BT60" s="2">
        <v>1</v>
      </c>
      <c r="BU60" s="2">
        <v>1</v>
      </c>
      <c r="BV60" s="2">
        <v>1</v>
      </c>
      <c r="BW60" s="2">
        <v>1</v>
      </c>
      <c r="BX60" s="2">
        <v>1</v>
      </c>
      <c r="BY60" s="2" t="s">
        <v>3</v>
      </c>
      <c r="BZ60" s="2">
        <v>115</v>
      </c>
      <c r="CA60" s="2">
        <v>90</v>
      </c>
      <c r="CB60" s="2"/>
      <c r="CC60" s="2"/>
      <c r="CD60" s="2"/>
      <c r="CE60" s="2"/>
      <c r="CF60" s="2">
        <v>0</v>
      </c>
      <c r="CG60" s="2">
        <v>0</v>
      </c>
      <c r="CH60" s="2"/>
      <c r="CI60" s="2"/>
      <c r="CJ60" s="2"/>
      <c r="CK60" s="2"/>
      <c r="CL60" s="2"/>
      <c r="CM60" s="2">
        <v>0</v>
      </c>
      <c r="CN60" s="2" t="s">
        <v>3</v>
      </c>
      <c r="CO60" s="2">
        <v>0</v>
      </c>
      <c r="CP60" s="2">
        <f t="shared" si="31"/>
        <v>1.92</v>
      </c>
      <c r="CQ60" s="2">
        <f t="shared" si="32"/>
        <v>0</v>
      </c>
      <c r="CR60" s="2">
        <f t="shared" si="33"/>
        <v>76.612499999999997</v>
      </c>
      <c r="CS60" s="2">
        <f t="shared" si="34"/>
        <v>8.2874999999999996</v>
      </c>
      <c r="CT60" s="2">
        <f t="shared" si="35"/>
        <v>0</v>
      </c>
      <c r="CU60" s="2">
        <f t="shared" si="36"/>
        <v>0</v>
      </c>
      <c r="CV60" s="2">
        <f t="shared" si="37"/>
        <v>0</v>
      </c>
      <c r="CW60" s="2">
        <f t="shared" si="38"/>
        <v>0.625</v>
      </c>
      <c r="CX60" s="2">
        <f t="shared" si="39"/>
        <v>0</v>
      </c>
      <c r="CY60" s="2">
        <f t="shared" si="40"/>
        <v>0.24149999999999999</v>
      </c>
      <c r="CZ60" s="2">
        <f t="shared" si="41"/>
        <v>0.16169999999999998</v>
      </c>
      <c r="DA60" s="2"/>
      <c r="DB60" s="2"/>
      <c r="DC60" s="2" t="s">
        <v>3</v>
      </c>
      <c r="DD60" s="2" t="s">
        <v>3</v>
      </c>
      <c r="DE60" s="2" t="s">
        <v>62</v>
      </c>
      <c r="DF60" s="2" t="s">
        <v>62</v>
      </c>
      <c r="DG60" s="2" t="s">
        <v>63</v>
      </c>
      <c r="DH60" s="2" t="s">
        <v>3</v>
      </c>
      <c r="DI60" s="2" t="s">
        <v>63</v>
      </c>
      <c r="DJ60" s="2" t="s">
        <v>62</v>
      </c>
      <c r="DK60" s="2" t="s">
        <v>3</v>
      </c>
      <c r="DL60" s="2" t="s">
        <v>3</v>
      </c>
      <c r="DM60" s="2" t="s">
        <v>3</v>
      </c>
      <c r="DN60" s="2">
        <v>0</v>
      </c>
      <c r="DO60" s="2">
        <v>0</v>
      </c>
      <c r="DP60" s="2">
        <v>1</v>
      </c>
      <c r="DQ60" s="2">
        <v>1</v>
      </c>
      <c r="DR60" s="2"/>
      <c r="DS60" s="2"/>
      <c r="DT60" s="2"/>
      <c r="DU60" s="2">
        <v>1013</v>
      </c>
      <c r="DV60" s="2" t="s">
        <v>124</v>
      </c>
      <c r="DW60" s="2" t="s">
        <v>124</v>
      </c>
      <c r="DX60" s="2">
        <v>1</v>
      </c>
      <c r="DY60" s="2"/>
      <c r="DZ60" s="2"/>
      <c r="EA60" s="2"/>
      <c r="EB60" s="2"/>
      <c r="EC60" s="2"/>
      <c r="ED60" s="2"/>
      <c r="EE60" s="2">
        <v>24085429</v>
      </c>
      <c r="EF60" s="2">
        <v>2</v>
      </c>
      <c r="EG60" s="2" t="s">
        <v>33</v>
      </c>
      <c r="EH60" s="2">
        <v>0</v>
      </c>
      <c r="EI60" s="2" t="s">
        <v>3</v>
      </c>
      <c r="EJ60" s="2">
        <v>1</v>
      </c>
      <c r="EK60" s="2">
        <v>47001</v>
      </c>
      <c r="EL60" s="2" t="s">
        <v>49</v>
      </c>
      <c r="EM60" s="2" t="s">
        <v>50</v>
      </c>
      <c r="EN60" s="2"/>
      <c r="EO60" s="2" t="s">
        <v>3</v>
      </c>
      <c r="EP60" s="2"/>
      <c r="EQ60" s="2">
        <v>0</v>
      </c>
      <c r="ER60" s="2">
        <v>61.29</v>
      </c>
      <c r="ES60" s="2">
        <v>0</v>
      </c>
      <c r="ET60" s="2">
        <v>61.29</v>
      </c>
      <c r="EU60" s="2">
        <v>6.63</v>
      </c>
      <c r="EV60" s="2">
        <v>0</v>
      </c>
      <c r="EW60" s="2">
        <v>0</v>
      </c>
      <c r="EX60" s="2">
        <v>0.5</v>
      </c>
      <c r="EY60" s="2">
        <v>0</v>
      </c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>
        <v>0</v>
      </c>
      <c r="FR60" s="2">
        <f t="shared" si="42"/>
        <v>0</v>
      </c>
      <c r="FS60" s="2">
        <v>0</v>
      </c>
      <c r="FT60" s="2"/>
      <c r="FU60" s="2" t="s">
        <v>21</v>
      </c>
      <c r="FV60" s="2"/>
      <c r="FW60" s="2"/>
      <c r="FX60" s="2">
        <v>115</v>
      </c>
      <c r="FY60" s="2">
        <v>76.5</v>
      </c>
      <c r="FZ60" s="2"/>
      <c r="GA60" s="2" t="s">
        <v>3</v>
      </c>
      <c r="GB60" s="2"/>
      <c r="GC60" s="2"/>
      <c r="GD60" s="2">
        <v>0</v>
      </c>
      <c r="GE60" s="2"/>
      <c r="GF60" s="2">
        <v>149155275</v>
      </c>
      <c r="GG60" s="2">
        <v>2</v>
      </c>
      <c r="GH60" s="2">
        <v>1</v>
      </c>
      <c r="GI60" s="2">
        <v>-2</v>
      </c>
      <c r="GJ60" s="2">
        <v>0</v>
      </c>
      <c r="GK60" s="2">
        <f>ROUND(R60*(R12)/100,2)</f>
        <v>0</v>
      </c>
      <c r="GL60" s="2">
        <f t="shared" si="43"/>
        <v>0</v>
      </c>
      <c r="GM60" s="2">
        <f t="shared" si="44"/>
        <v>2.3199999999999998</v>
      </c>
      <c r="GN60" s="2">
        <f t="shared" si="45"/>
        <v>2.3199999999999998</v>
      </c>
      <c r="GO60" s="2">
        <f t="shared" si="46"/>
        <v>0</v>
      </c>
      <c r="GP60" s="2">
        <f t="shared" si="47"/>
        <v>0</v>
      </c>
      <c r="GQ60" s="2"/>
      <c r="GR60" s="2">
        <v>0</v>
      </c>
      <c r="GS60" s="2">
        <v>3</v>
      </c>
      <c r="GT60" s="2">
        <v>0</v>
      </c>
      <c r="GU60" s="2" t="s">
        <v>3</v>
      </c>
      <c r="GV60" s="2">
        <f t="shared" si="48"/>
        <v>0</v>
      </c>
      <c r="GW60" s="2">
        <v>1</v>
      </c>
      <c r="GX60" s="2">
        <f t="shared" si="49"/>
        <v>0</v>
      </c>
      <c r="GY60" s="2"/>
      <c r="GZ60" s="2"/>
      <c r="HA60" s="2">
        <v>0</v>
      </c>
      <c r="HB60" s="2">
        <v>0</v>
      </c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>
        <v>0</v>
      </c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pans="1:255">
      <c r="A61">
        <v>17</v>
      </c>
      <c r="B61">
        <v>1</v>
      </c>
      <c r="C61">
        <f>ROW(SmtRes!A118)</f>
        <v>118</v>
      </c>
      <c r="D61">
        <f>ROW(EtalonRes!A116)</f>
        <v>116</v>
      </c>
      <c r="E61" t="s">
        <v>121</v>
      </c>
      <c r="F61" t="s">
        <v>122</v>
      </c>
      <c r="G61" t="s">
        <v>123</v>
      </c>
      <c r="H61" t="s">
        <v>124</v>
      </c>
      <c r="I61">
        <v>2.5000000000000001E-2</v>
      </c>
      <c r="J61">
        <v>0</v>
      </c>
      <c r="O61">
        <f t="shared" si="14"/>
        <v>11.89</v>
      </c>
      <c r="P61">
        <f t="shared" si="15"/>
        <v>0</v>
      </c>
      <c r="Q61">
        <f t="shared" si="16"/>
        <v>11.89</v>
      </c>
      <c r="R61">
        <f t="shared" si="17"/>
        <v>3.41</v>
      </c>
      <c r="S61">
        <f t="shared" si="18"/>
        <v>0</v>
      </c>
      <c r="T61">
        <f t="shared" si="19"/>
        <v>0</v>
      </c>
      <c r="U61">
        <f t="shared" si="20"/>
        <v>0</v>
      </c>
      <c r="V61">
        <f t="shared" si="21"/>
        <v>1.5625E-2</v>
      </c>
      <c r="W61">
        <f t="shared" si="22"/>
        <v>0</v>
      </c>
      <c r="X61">
        <f t="shared" si="23"/>
        <v>3.34</v>
      </c>
      <c r="Y61">
        <f t="shared" si="24"/>
        <v>2.08</v>
      </c>
      <c r="AA61">
        <v>34847877</v>
      </c>
      <c r="AB61">
        <f t="shared" si="25"/>
        <v>76.612499999999997</v>
      </c>
      <c r="AC61">
        <f t="shared" si="26"/>
        <v>0</v>
      </c>
      <c r="AD61">
        <f t="shared" si="54"/>
        <v>76.612499999999997</v>
      </c>
      <c r="AE61">
        <f t="shared" si="55"/>
        <v>8.2874999999999996</v>
      </c>
      <c r="AF61">
        <f t="shared" si="56"/>
        <v>0</v>
      </c>
      <c r="AG61">
        <f t="shared" si="28"/>
        <v>0</v>
      </c>
      <c r="AH61">
        <f t="shared" si="57"/>
        <v>0</v>
      </c>
      <c r="AI61">
        <f t="shared" si="58"/>
        <v>0.625</v>
      </c>
      <c r="AJ61">
        <f t="shared" si="30"/>
        <v>0</v>
      </c>
      <c r="AK61">
        <v>61.29</v>
      </c>
      <c r="AL61">
        <v>0</v>
      </c>
      <c r="AM61">
        <v>61.29</v>
      </c>
      <c r="AN61">
        <v>6.63</v>
      </c>
      <c r="AO61">
        <v>0</v>
      </c>
      <c r="AP61">
        <v>0</v>
      </c>
      <c r="AQ61">
        <v>0</v>
      </c>
      <c r="AR61">
        <v>0.5</v>
      </c>
      <c r="AS61">
        <v>0</v>
      </c>
      <c r="AT61">
        <v>98</v>
      </c>
      <c r="AU61">
        <v>61</v>
      </c>
      <c r="AV61">
        <v>1</v>
      </c>
      <c r="AW61">
        <v>1</v>
      </c>
      <c r="AZ61">
        <v>1</v>
      </c>
      <c r="BA61">
        <v>16.440000000000001</v>
      </c>
      <c r="BB61">
        <v>6.21</v>
      </c>
      <c r="BC61">
        <v>5.9</v>
      </c>
      <c r="BD61" t="s">
        <v>3</v>
      </c>
      <c r="BE61" t="s">
        <v>3</v>
      </c>
      <c r="BF61" t="s">
        <v>3</v>
      </c>
      <c r="BG61" t="s">
        <v>3</v>
      </c>
      <c r="BH61">
        <v>0</v>
      </c>
      <c r="BI61">
        <v>1</v>
      </c>
      <c r="BJ61" t="s">
        <v>125</v>
      </c>
      <c r="BM61">
        <v>47001</v>
      </c>
      <c r="BN61">
        <v>0</v>
      </c>
      <c r="BO61" t="s">
        <v>3</v>
      </c>
      <c r="BP61">
        <v>0</v>
      </c>
      <c r="BQ61">
        <v>2</v>
      </c>
      <c r="BR61">
        <v>0</v>
      </c>
      <c r="BS61">
        <v>16.440000000000001</v>
      </c>
      <c r="BT61">
        <v>1</v>
      </c>
      <c r="BU61">
        <v>1</v>
      </c>
      <c r="BV61">
        <v>1</v>
      </c>
      <c r="BW61">
        <v>1</v>
      </c>
      <c r="BX61">
        <v>1</v>
      </c>
      <c r="BY61" t="s">
        <v>3</v>
      </c>
      <c r="BZ61">
        <v>115</v>
      </c>
      <c r="CA61">
        <v>90</v>
      </c>
      <c r="CF61">
        <v>0</v>
      </c>
      <c r="CG61">
        <v>0</v>
      </c>
      <c r="CM61">
        <v>0</v>
      </c>
      <c r="CN61" t="s">
        <v>3</v>
      </c>
      <c r="CO61">
        <v>0</v>
      </c>
      <c r="CP61">
        <f t="shared" si="31"/>
        <v>11.89</v>
      </c>
      <c r="CQ61">
        <f t="shared" si="32"/>
        <v>0</v>
      </c>
      <c r="CR61">
        <f t="shared" si="33"/>
        <v>475.76362499999999</v>
      </c>
      <c r="CS61">
        <f t="shared" si="34"/>
        <v>136.2465</v>
      </c>
      <c r="CT61">
        <f t="shared" si="35"/>
        <v>0</v>
      </c>
      <c r="CU61">
        <f t="shared" si="36"/>
        <v>0</v>
      </c>
      <c r="CV61">
        <f t="shared" si="37"/>
        <v>0</v>
      </c>
      <c r="CW61">
        <f t="shared" si="38"/>
        <v>0.625</v>
      </c>
      <c r="CX61">
        <f t="shared" si="39"/>
        <v>0</v>
      </c>
      <c r="CY61">
        <f t="shared" si="40"/>
        <v>3.3418000000000001</v>
      </c>
      <c r="CZ61">
        <f t="shared" si="41"/>
        <v>2.0801000000000003</v>
      </c>
      <c r="DC61" t="s">
        <v>3</v>
      </c>
      <c r="DD61" t="s">
        <v>3</v>
      </c>
      <c r="DE61" t="s">
        <v>62</v>
      </c>
      <c r="DF61" t="s">
        <v>62</v>
      </c>
      <c r="DG61" t="s">
        <v>63</v>
      </c>
      <c r="DH61" t="s">
        <v>3</v>
      </c>
      <c r="DI61" t="s">
        <v>63</v>
      </c>
      <c r="DJ61" t="s">
        <v>62</v>
      </c>
      <c r="DK61" t="s">
        <v>3</v>
      </c>
      <c r="DL61" t="s">
        <v>3</v>
      </c>
      <c r="DM61" t="s">
        <v>3</v>
      </c>
      <c r="DN61">
        <v>0</v>
      </c>
      <c r="DO61">
        <v>0</v>
      </c>
      <c r="DP61">
        <v>1</v>
      </c>
      <c r="DQ61">
        <v>1</v>
      </c>
      <c r="DU61">
        <v>1013</v>
      </c>
      <c r="DV61" t="s">
        <v>124</v>
      </c>
      <c r="DW61" t="s">
        <v>124</v>
      </c>
      <c r="DX61">
        <v>1</v>
      </c>
      <c r="EE61">
        <v>24085429</v>
      </c>
      <c r="EF61">
        <v>2</v>
      </c>
      <c r="EG61" t="s">
        <v>33</v>
      </c>
      <c r="EH61">
        <v>0</v>
      </c>
      <c r="EI61" t="s">
        <v>3</v>
      </c>
      <c r="EJ61">
        <v>1</v>
      </c>
      <c r="EK61">
        <v>47001</v>
      </c>
      <c r="EL61" t="s">
        <v>49</v>
      </c>
      <c r="EM61" t="s">
        <v>50</v>
      </c>
      <c r="EO61" t="s">
        <v>3</v>
      </c>
      <c r="EQ61">
        <v>0</v>
      </c>
      <c r="ER61">
        <v>61.29</v>
      </c>
      <c r="ES61">
        <v>0</v>
      </c>
      <c r="ET61">
        <v>61.29</v>
      </c>
      <c r="EU61">
        <v>6.63</v>
      </c>
      <c r="EV61">
        <v>0</v>
      </c>
      <c r="EW61">
        <v>0</v>
      </c>
      <c r="EX61">
        <v>0.5</v>
      </c>
      <c r="EY61">
        <v>0</v>
      </c>
      <c r="FQ61">
        <v>0</v>
      </c>
      <c r="FR61">
        <f t="shared" si="42"/>
        <v>0</v>
      </c>
      <c r="FS61">
        <v>0</v>
      </c>
      <c r="FU61" t="s">
        <v>21</v>
      </c>
      <c r="FV61" t="s">
        <v>21</v>
      </c>
      <c r="FW61" t="s">
        <v>22</v>
      </c>
      <c r="FX61">
        <v>115</v>
      </c>
      <c r="FY61">
        <v>76.5</v>
      </c>
      <c r="GA61" t="s">
        <v>3</v>
      </c>
      <c r="GD61">
        <v>0</v>
      </c>
      <c r="GF61">
        <v>149155275</v>
      </c>
      <c r="GG61">
        <v>2</v>
      </c>
      <c r="GH61">
        <v>1</v>
      </c>
      <c r="GI61">
        <v>4</v>
      </c>
      <c r="GJ61">
        <v>0</v>
      </c>
      <c r="GK61">
        <f>ROUND(R61*(S12)/100,2)</f>
        <v>0</v>
      </c>
      <c r="GL61">
        <f t="shared" si="43"/>
        <v>0</v>
      </c>
      <c r="GM61">
        <f t="shared" si="44"/>
        <v>17.309999999999999</v>
      </c>
      <c r="GN61">
        <f t="shared" si="45"/>
        <v>17.309999999999999</v>
      </c>
      <c r="GO61">
        <f t="shared" si="46"/>
        <v>0</v>
      </c>
      <c r="GP61">
        <f t="shared" si="47"/>
        <v>0</v>
      </c>
      <c r="GR61">
        <v>0</v>
      </c>
      <c r="GS61">
        <v>3</v>
      </c>
      <c r="GT61">
        <v>0</v>
      </c>
      <c r="GU61" t="s">
        <v>3</v>
      </c>
      <c r="GV61">
        <f t="shared" si="48"/>
        <v>0</v>
      </c>
      <c r="GW61">
        <v>1</v>
      </c>
      <c r="GX61">
        <f t="shared" si="49"/>
        <v>0</v>
      </c>
      <c r="HA61">
        <v>0</v>
      </c>
      <c r="HB61">
        <v>0</v>
      </c>
      <c r="IK61">
        <v>0</v>
      </c>
    </row>
    <row r="62" spans="1:255">
      <c r="A62" s="2">
        <v>18</v>
      </c>
      <c r="B62" s="2">
        <v>1</v>
      </c>
      <c r="C62" s="2">
        <v>114</v>
      </c>
      <c r="D62" s="2"/>
      <c r="E62" s="2" t="s">
        <v>126</v>
      </c>
      <c r="F62" s="2" t="s">
        <v>127</v>
      </c>
      <c r="G62" s="2" t="s">
        <v>128</v>
      </c>
      <c r="H62" s="2" t="s">
        <v>129</v>
      </c>
      <c r="I62" s="2">
        <f>I60*J62</f>
        <v>6.25</v>
      </c>
      <c r="J62" s="2">
        <v>250</v>
      </c>
      <c r="K62" s="2"/>
      <c r="L62" s="2"/>
      <c r="M62" s="2"/>
      <c r="N62" s="2"/>
      <c r="O62" s="2">
        <f t="shared" si="14"/>
        <v>848.31</v>
      </c>
      <c r="P62" s="2">
        <f t="shared" si="15"/>
        <v>848.31</v>
      </c>
      <c r="Q62" s="2">
        <f t="shared" si="16"/>
        <v>0</v>
      </c>
      <c r="R62" s="2">
        <f t="shared" si="17"/>
        <v>0</v>
      </c>
      <c r="S62" s="2">
        <f t="shared" si="18"/>
        <v>0</v>
      </c>
      <c r="T62" s="2">
        <f t="shared" si="19"/>
        <v>0</v>
      </c>
      <c r="U62" s="2">
        <f t="shared" si="20"/>
        <v>0</v>
      </c>
      <c r="V62" s="2">
        <f t="shared" si="21"/>
        <v>0</v>
      </c>
      <c r="W62" s="2">
        <f t="shared" si="22"/>
        <v>0</v>
      </c>
      <c r="X62" s="2">
        <f t="shared" si="23"/>
        <v>0</v>
      </c>
      <c r="Y62" s="2">
        <f t="shared" si="24"/>
        <v>0</v>
      </c>
      <c r="Z62" s="2"/>
      <c r="AA62" s="2">
        <v>34847864</v>
      </c>
      <c r="AB62" s="2">
        <f t="shared" si="25"/>
        <v>135.72999999999999</v>
      </c>
      <c r="AC62" s="2">
        <f t="shared" si="26"/>
        <v>135.72999999999999</v>
      </c>
      <c r="AD62" s="2">
        <f>ROUND((((ET62)-(EU62))+AE62),6)</f>
        <v>0</v>
      </c>
      <c r="AE62" s="2">
        <f>ROUND((EU62),6)</f>
        <v>0</v>
      </c>
      <c r="AF62" s="2">
        <f>ROUND((EV62),6)</f>
        <v>0</v>
      </c>
      <c r="AG62" s="2">
        <f t="shared" si="28"/>
        <v>0</v>
      </c>
      <c r="AH62" s="2">
        <f>(EW62)</f>
        <v>0</v>
      </c>
      <c r="AI62" s="2">
        <f>(EX62)</f>
        <v>0</v>
      </c>
      <c r="AJ62" s="2">
        <f t="shared" si="30"/>
        <v>0</v>
      </c>
      <c r="AK62" s="2">
        <v>135.72999999999999</v>
      </c>
      <c r="AL62" s="2">
        <v>135.72999999999999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115</v>
      </c>
      <c r="AU62" s="2">
        <v>77</v>
      </c>
      <c r="AV62" s="2">
        <v>1</v>
      </c>
      <c r="AW62" s="2">
        <v>1</v>
      </c>
      <c r="AX62" s="2"/>
      <c r="AY62" s="2"/>
      <c r="AZ62" s="2">
        <v>1</v>
      </c>
      <c r="BA62" s="2">
        <v>1</v>
      </c>
      <c r="BB62" s="2">
        <v>1</v>
      </c>
      <c r="BC62" s="2">
        <v>1</v>
      </c>
      <c r="BD62" s="2" t="s">
        <v>3</v>
      </c>
      <c r="BE62" s="2" t="s">
        <v>3</v>
      </c>
      <c r="BF62" s="2" t="s">
        <v>3</v>
      </c>
      <c r="BG62" s="2" t="s">
        <v>3</v>
      </c>
      <c r="BH62" s="2">
        <v>3</v>
      </c>
      <c r="BI62" s="2">
        <v>1</v>
      </c>
      <c r="BJ62" s="2" t="s">
        <v>130</v>
      </c>
      <c r="BK62" s="2"/>
      <c r="BL62" s="2"/>
      <c r="BM62" s="2">
        <v>47001</v>
      </c>
      <c r="BN62" s="2">
        <v>0</v>
      </c>
      <c r="BO62" s="2" t="s">
        <v>3</v>
      </c>
      <c r="BP62" s="2">
        <v>0</v>
      </c>
      <c r="BQ62" s="2">
        <v>2</v>
      </c>
      <c r="BR62" s="2">
        <v>0</v>
      </c>
      <c r="BS62" s="2">
        <v>1</v>
      </c>
      <c r="BT62" s="2">
        <v>1</v>
      </c>
      <c r="BU62" s="2">
        <v>1</v>
      </c>
      <c r="BV62" s="2">
        <v>1</v>
      </c>
      <c r="BW62" s="2">
        <v>1</v>
      </c>
      <c r="BX62" s="2">
        <v>1</v>
      </c>
      <c r="BY62" s="2" t="s">
        <v>3</v>
      </c>
      <c r="BZ62" s="2">
        <v>115</v>
      </c>
      <c r="CA62" s="2">
        <v>90</v>
      </c>
      <c r="CB62" s="2"/>
      <c r="CC62" s="2"/>
      <c r="CD62" s="2"/>
      <c r="CE62" s="2"/>
      <c r="CF62" s="2">
        <v>0</v>
      </c>
      <c r="CG62" s="2">
        <v>0</v>
      </c>
      <c r="CH62" s="2"/>
      <c r="CI62" s="2"/>
      <c r="CJ62" s="2"/>
      <c r="CK62" s="2"/>
      <c r="CL62" s="2"/>
      <c r="CM62" s="2">
        <v>0</v>
      </c>
      <c r="CN62" s="2" t="s">
        <v>3</v>
      </c>
      <c r="CO62" s="2">
        <v>0</v>
      </c>
      <c r="CP62" s="2">
        <f t="shared" si="31"/>
        <v>848.31</v>
      </c>
      <c r="CQ62" s="2">
        <f t="shared" si="32"/>
        <v>135.72999999999999</v>
      </c>
      <c r="CR62" s="2">
        <f t="shared" si="33"/>
        <v>0</v>
      </c>
      <c r="CS62" s="2">
        <f t="shared" si="34"/>
        <v>0</v>
      </c>
      <c r="CT62" s="2">
        <f t="shared" si="35"/>
        <v>0</v>
      </c>
      <c r="CU62" s="2">
        <f t="shared" si="36"/>
        <v>0</v>
      </c>
      <c r="CV62" s="2">
        <f t="shared" si="37"/>
        <v>0</v>
      </c>
      <c r="CW62" s="2">
        <f t="shared" si="38"/>
        <v>0</v>
      </c>
      <c r="CX62" s="2">
        <f t="shared" si="39"/>
        <v>0</v>
      </c>
      <c r="CY62" s="2">
        <f t="shared" si="40"/>
        <v>0</v>
      </c>
      <c r="CZ62" s="2">
        <f t="shared" si="41"/>
        <v>0</v>
      </c>
      <c r="DA62" s="2"/>
      <c r="DB62" s="2"/>
      <c r="DC62" s="2" t="s">
        <v>3</v>
      </c>
      <c r="DD62" s="2" t="s">
        <v>3</v>
      </c>
      <c r="DE62" s="2" t="s">
        <v>3</v>
      </c>
      <c r="DF62" s="2" t="s">
        <v>3</v>
      </c>
      <c r="DG62" s="2" t="s">
        <v>3</v>
      </c>
      <c r="DH62" s="2" t="s">
        <v>3</v>
      </c>
      <c r="DI62" s="2" t="s">
        <v>3</v>
      </c>
      <c r="DJ62" s="2" t="s">
        <v>3</v>
      </c>
      <c r="DK62" s="2" t="s">
        <v>3</v>
      </c>
      <c r="DL62" s="2" t="s">
        <v>3</v>
      </c>
      <c r="DM62" s="2" t="s">
        <v>3</v>
      </c>
      <c r="DN62" s="2">
        <v>0</v>
      </c>
      <c r="DO62" s="2">
        <v>0</v>
      </c>
      <c r="DP62" s="2">
        <v>1</v>
      </c>
      <c r="DQ62" s="2">
        <v>1</v>
      </c>
      <c r="DR62" s="2"/>
      <c r="DS62" s="2"/>
      <c r="DT62" s="2"/>
      <c r="DU62" s="2">
        <v>1009</v>
      </c>
      <c r="DV62" s="2" t="s">
        <v>129</v>
      </c>
      <c r="DW62" s="2" t="s">
        <v>129</v>
      </c>
      <c r="DX62" s="2">
        <v>1</v>
      </c>
      <c r="DY62" s="2"/>
      <c r="DZ62" s="2"/>
      <c r="EA62" s="2"/>
      <c r="EB62" s="2"/>
      <c r="EC62" s="2"/>
      <c r="ED62" s="2"/>
      <c r="EE62" s="2">
        <v>24085429</v>
      </c>
      <c r="EF62" s="2">
        <v>2</v>
      </c>
      <c r="EG62" s="2" t="s">
        <v>33</v>
      </c>
      <c r="EH62" s="2">
        <v>0</v>
      </c>
      <c r="EI62" s="2" t="s">
        <v>3</v>
      </c>
      <c r="EJ62" s="2">
        <v>1</v>
      </c>
      <c r="EK62" s="2">
        <v>47001</v>
      </c>
      <c r="EL62" s="2" t="s">
        <v>49</v>
      </c>
      <c r="EM62" s="2" t="s">
        <v>50</v>
      </c>
      <c r="EN62" s="2"/>
      <c r="EO62" s="2" t="s">
        <v>3</v>
      </c>
      <c r="EP62" s="2"/>
      <c r="EQ62" s="2">
        <v>0</v>
      </c>
      <c r="ER62" s="2">
        <v>135.72999999999999</v>
      </c>
      <c r="ES62" s="2">
        <v>135.72999999999999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>
        <v>0</v>
      </c>
      <c r="FR62" s="2">
        <f t="shared" si="42"/>
        <v>0</v>
      </c>
      <c r="FS62" s="2">
        <v>0</v>
      </c>
      <c r="FT62" s="2"/>
      <c r="FU62" s="2" t="s">
        <v>21</v>
      </c>
      <c r="FV62" s="2"/>
      <c r="FW62" s="2"/>
      <c r="FX62" s="2">
        <v>115</v>
      </c>
      <c r="FY62" s="2">
        <v>76.5</v>
      </c>
      <c r="FZ62" s="2"/>
      <c r="GA62" s="2" t="s">
        <v>3</v>
      </c>
      <c r="GB62" s="2"/>
      <c r="GC62" s="2"/>
      <c r="GD62" s="2">
        <v>0</v>
      </c>
      <c r="GE62" s="2"/>
      <c r="GF62" s="2">
        <v>1221729220</v>
      </c>
      <c r="GG62" s="2">
        <v>2</v>
      </c>
      <c r="GH62" s="2">
        <v>1</v>
      </c>
      <c r="GI62" s="2">
        <v>-2</v>
      </c>
      <c r="GJ62" s="2">
        <v>0</v>
      </c>
      <c r="GK62" s="2">
        <f>ROUND(R62*(R12)/100,2)</f>
        <v>0</v>
      </c>
      <c r="GL62" s="2">
        <f t="shared" si="43"/>
        <v>0</v>
      </c>
      <c r="GM62" s="2">
        <f t="shared" si="44"/>
        <v>848.31</v>
      </c>
      <c r="GN62" s="2">
        <f t="shared" si="45"/>
        <v>848.31</v>
      </c>
      <c r="GO62" s="2">
        <f t="shared" si="46"/>
        <v>0</v>
      </c>
      <c r="GP62" s="2">
        <f t="shared" si="47"/>
        <v>0</v>
      </c>
      <c r="GQ62" s="2"/>
      <c r="GR62" s="2">
        <v>0</v>
      </c>
      <c r="GS62" s="2">
        <v>3</v>
      </c>
      <c r="GT62" s="2">
        <v>0</v>
      </c>
      <c r="GU62" s="2" t="s">
        <v>3</v>
      </c>
      <c r="GV62" s="2">
        <f t="shared" si="48"/>
        <v>0</v>
      </c>
      <c r="GW62" s="2">
        <v>1</v>
      </c>
      <c r="GX62" s="2">
        <f t="shared" si="49"/>
        <v>0</v>
      </c>
      <c r="GY62" s="2"/>
      <c r="GZ62" s="2"/>
      <c r="HA62" s="2">
        <v>0</v>
      </c>
      <c r="HB62" s="2">
        <v>0</v>
      </c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>
        <v>0</v>
      </c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>
      <c r="A63">
        <v>18</v>
      </c>
      <c r="B63">
        <v>1</v>
      </c>
      <c r="C63">
        <v>118</v>
      </c>
      <c r="E63" t="s">
        <v>126</v>
      </c>
      <c r="F63" t="s">
        <v>127</v>
      </c>
      <c r="G63" t="s">
        <v>128</v>
      </c>
      <c r="H63" t="s">
        <v>129</v>
      </c>
      <c r="I63">
        <f>I61*J63</f>
        <v>6.25</v>
      </c>
      <c r="J63">
        <v>250</v>
      </c>
      <c r="O63">
        <f t="shared" si="14"/>
        <v>5005.04</v>
      </c>
      <c r="P63">
        <f t="shared" si="15"/>
        <v>5005.04</v>
      </c>
      <c r="Q63">
        <f t="shared" si="16"/>
        <v>0</v>
      </c>
      <c r="R63">
        <f t="shared" si="17"/>
        <v>0</v>
      </c>
      <c r="S63">
        <f t="shared" si="18"/>
        <v>0</v>
      </c>
      <c r="T63">
        <f t="shared" si="19"/>
        <v>0</v>
      </c>
      <c r="U63">
        <f t="shared" si="20"/>
        <v>0</v>
      </c>
      <c r="V63">
        <f t="shared" si="21"/>
        <v>0</v>
      </c>
      <c r="W63">
        <f t="shared" si="22"/>
        <v>0</v>
      </c>
      <c r="X63">
        <f t="shared" si="23"/>
        <v>0</v>
      </c>
      <c r="Y63">
        <f t="shared" si="24"/>
        <v>0</v>
      </c>
      <c r="AA63">
        <v>34847877</v>
      </c>
      <c r="AB63">
        <f t="shared" si="25"/>
        <v>135.72999999999999</v>
      </c>
      <c r="AC63">
        <f t="shared" si="26"/>
        <v>135.72999999999999</v>
      </c>
      <c r="AD63">
        <f>ROUND((((ET63)-(EU63))+AE63),6)</f>
        <v>0</v>
      </c>
      <c r="AE63">
        <f>ROUND((EU63),6)</f>
        <v>0</v>
      </c>
      <c r="AF63">
        <f>ROUND((EV63),6)</f>
        <v>0</v>
      </c>
      <c r="AG63">
        <f t="shared" si="28"/>
        <v>0</v>
      </c>
      <c r="AH63">
        <f>(EW63)</f>
        <v>0</v>
      </c>
      <c r="AI63">
        <f>(EX63)</f>
        <v>0</v>
      </c>
      <c r="AJ63">
        <f t="shared" si="30"/>
        <v>0</v>
      </c>
      <c r="AK63">
        <v>135.72999999999999</v>
      </c>
      <c r="AL63">
        <v>135.72999999999999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98</v>
      </c>
      <c r="AU63">
        <v>61</v>
      </c>
      <c r="AV63">
        <v>1</v>
      </c>
      <c r="AW63">
        <v>1</v>
      </c>
      <c r="AZ63">
        <v>1</v>
      </c>
      <c r="BA63">
        <v>1</v>
      </c>
      <c r="BB63">
        <v>1</v>
      </c>
      <c r="BC63">
        <v>5.9</v>
      </c>
      <c r="BD63" t="s">
        <v>3</v>
      </c>
      <c r="BE63" t="s">
        <v>3</v>
      </c>
      <c r="BF63" t="s">
        <v>3</v>
      </c>
      <c r="BG63" t="s">
        <v>3</v>
      </c>
      <c r="BH63">
        <v>3</v>
      </c>
      <c r="BI63">
        <v>1</v>
      </c>
      <c r="BJ63" t="s">
        <v>130</v>
      </c>
      <c r="BM63">
        <v>47001</v>
      </c>
      <c r="BN63">
        <v>0</v>
      </c>
      <c r="BO63" t="s">
        <v>3</v>
      </c>
      <c r="BP63">
        <v>0</v>
      </c>
      <c r="BQ63">
        <v>2</v>
      </c>
      <c r="BR63">
        <v>0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3</v>
      </c>
      <c r="BZ63">
        <v>115</v>
      </c>
      <c r="CA63">
        <v>90</v>
      </c>
      <c r="CF63">
        <v>0</v>
      </c>
      <c r="CG63">
        <v>0</v>
      </c>
      <c r="CM63">
        <v>0</v>
      </c>
      <c r="CN63" t="s">
        <v>3</v>
      </c>
      <c r="CO63">
        <v>0</v>
      </c>
      <c r="CP63">
        <f t="shared" si="31"/>
        <v>5005.04</v>
      </c>
      <c r="CQ63">
        <f t="shared" si="32"/>
        <v>800.80700000000002</v>
      </c>
      <c r="CR63">
        <f t="shared" si="33"/>
        <v>0</v>
      </c>
      <c r="CS63">
        <f t="shared" si="34"/>
        <v>0</v>
      </c>
      <c r="CT63">
        <f t="shared" si="35"/>
        <v>0</v>
      </c>
      <c r="CU63">
        <f t="shared" si="36"/>
        <v>0</v>
      </c>
      <c r="CV63">
        <f t="shared" si="37"/>
        <v>0</v>
      </c>
      <c r="CW63">
        <f t="shared" si="38"/>
        <v>0</v>
      </c>
      <c r="CX63">
        <f t="shared" si="39"/>
        <v>0</v>
      </c>
      <c r="CY63">
        <f t="shared" si="40"/>
        <v>0</v>
      </c>
      <c r="CZ63">
        <f t="shared" si="41"/>
        <v>0</v>
      </c>
      <c r="DC63" t="s">
        <v>3</v>
      </c>
      <c r="DD63" t="s">
        <v>3</v>
      </c>
      <c r="DE63" t="s">
        <v>3</v>
      </c>
      <c r="DF63" t="s">
        <v>3</v>
      </c>
      <c r="DG63" t="s">
        <v>3</v>
      </c>
      <c r="DH63" t="s">
        <v>3</v>
      </c>
      <c r="DI63" t="s">
        <v>3</v>
      </c>
      <c r="DJ63" t="s">
        <v>3</v>
      </c>
      <c r="DK63" t="s">
        <v>3</v>
      </c>
      <c r="DL63" t="s">
        <v>3</v>
      </c>
      <c r="DM63" t="s">
        <v>3</v>
      </c>
      <c r="DN63">
        <v>0</v>
      </c>
      <c r="DO63">
        <v>0</v>
      </c>
      <c r="DP63">
        <v>1</v>
      </c>
      <c r="DQ63">
        <v>1</v>
      </c>
      <c r="DU63">
        <v>1009</v>
      </c>
      <c r="DV63" t="s">
        <v>129</v>
      </c>
      <c r="DW63" t="s">
        <v>129</v>
      </c>
      <c r="DX63">
        <v>1</v>
      </c>
      <c r="EE63">
        <v>24085429</v>
      </c>
      <c r="EF63">
        <v>2</v>
      </c>
      <c r="EG63" t="s">
        <v>33</v>
      </c>
      <c r="EH63">
        <v>0</v>
      </c>
      <c r="EI63" t="s">
        <v>3</v>
      </c>
      <c r="EJ63">
        <v>1</v>
      </c>
      <c r="EK63">
        <v>47001</v>
      </c>
      <c r="EL63" t="s">
        <v>49</v>
      </c>
      <c r="EM63" t="s">
        <v>50</v>
      </c>
      <c r="EO63" t="s">
        <v>3</v>
      </c>
      <c r="EQ63">
        <v>0</v>
      </c>
      <c r="ER63">
        <v>135.72999999999999</v>
      </c>
      <c r="ES63">
        <v>135.72999999999999</v>
      </c>
      <c r="ET63">
        <v>0</v>
      </c>
      <c r="EU63">
        <v>0</v>
      </c>
      <c r="EV63">
        <v>0</v>
      </c>
      <c r="EW63">
        <v>0</v>
      </c>
      <c r="EX63">
        <v>0</v>
      </c>
      <c r="FQ63">
        <v>0</v>
      </c>
      <c r="FR63">
        <f t="shared" si="42"/>
        <v>0</v>
      </c>
      <c r="FS63">
        <v>0</v>
      </c>
      <c r="FU63" t="s">
        <v>21</v>
      </c>
      <c r="FV63" t="s">
        <v>21</v>
      </c>
      <c r="FW63" t="s">
        <v>22</v>
      </c>
      <c r="FX63">
        <v>115</v>
      </c>
      <c r="FY63">
        <v>76.5</v>
      </c>
      <c r="GA63" t="s">
        <v>3</v>
      </c>
      <c r="GD63">
        <v>0</v>
      </c>
      <c r="GF63">
        <v>1221729220</v>
      </c>
      <c r="GG63">
        <v>2</v>
      </c>
      <c r="GH63">
        <v>1</v>
      </c>
      <c r="GI63">
        <v>4</v>
      </c>
      <c r="GJ63">
        <v>0</v>
      </c>
      <c r="GK63">
        <f>ROUND(R63*(S12)/100,2)</f>
        <v>0</v>
      </c>
      <c r="GL63">
        <f t="shared" si="43"/>
        <v>0</v>
      </c>
      <c r="GM63">
        <f t="shared" si="44"/>
        <v>5005.04</v>
      </c>
      <c r="GN63">
        <f t="shared" si="45"/>
        <v>5005.04</v>
      </c>
      <c r="GO63">
        <f t="shared" si="46"/>
        <v>0</v>
      </c>
      <c r="GP63">
        <f t="shared" si="47"/>
        <v>0</v>
      </c>
      <c r="GR63">
        <v>0</v>
      </c>
      <c r="GS63">
        <v>3</v>
      </c>
      <c r="GT63">
        <v>0</v>
      </c>
      <c r="GU63" t="s">
        <v>3</v>
      </c>
      <c r="GV63">
        <f t="shared" si="48"/>
        <v>0</v>
      </c>
      <c r="GW63">
        <v>1</v>
      </c>
      <c r="GX63">
        <f t="shared" si="49"/>
        <v>0</v>
      </c>
      <c r="HA63">
        <v>0</v>
      </c>
      <c r="HB63">
        <v>0</v>
      </c>
      <c r="IK63">
        <v>0</v>
      </c>
    </row>
    <row r="64" spans="1:255">
      <c r="A64" s="2">
        <v>17</v>
      </c>
      <c r="B64" s="2">
        <v>1</v>
      </c>
      <c r="C64" s="2"/>
      <c r="D64" s="2"/>
      <c r="E64" s="2" t="s">
        <v>131</v>
      </c>
      <c r="F64" s="2" t="s">
        <v>52</v>
      </c>
      <c r="G64" s="2" t="s">
        <v>132</v>
      </c>
      <c r="H64" s="2" t="s">
        <v>133</v>
      </c>
      <c r="I64" s="2">
        <v>1</v>
      </c>
      <c r="J64" s="2">
        <v>0</v>
      </c>
      <c r="K64" s="2"/>
      <c r="L64" s="2"/>
      <c r="M64" s="2"/>
      <c r="N64" s="2"/>
      <c r="O64" s="2">
        <f t="shared" si="14"/>
        <v>0</v>
      </c>
      <c r="P64" s="2">
        <f t="shared" si="15"/>
        <v>0</v>
      </c>
      <c r="Q64" s="2">
        <f t="shared" si="16"/>
        <v>0</v>
      </c>
      <c r="R64" s="2">
        <f t="shared" si="17"/>
        <v>0</v>
      </c>
      <c r="S64" s="2">
        <f t="shared" si="18"/>
        <v>0</v>
      </c>
      <c r="T64" s="2">
        <f t="shared" si="19"/>
        <v>0</v>
      </c>
      <c r="U64" s="2">
        <f t="shared" si="20"/>
        <v>0</v>
      </c>
      <c r="V64" s="2">
        <f t="shared" si="21"/>
        <v>0</v>
      </c>
      <c r="W64" s="2">
        <f t="shared" si="22"/>
        <v>0</v>
      </c>
      <c r="X64" s="2">
        <f t="shared" si="23"/>
        <v>0</v>
      </c>
      <c r="Y64" s="2">
        <f t="shared" si="24"/>
        <v>0</v>
      </c>
      <c r="Z64" s="2"/>
      <c r="AA64" s="2">
        <v>34847864</v>
      </c>
      <c r="AB64" s="2">
        <f t="shared" si="25"/>
        <v>0</v>
      </c>
      <c r="AC64" s="2">
        <f t="shared" si="26"/>
        <v>0</v>
      </c>
      <c r="AD64" s="2">
        <f>ROUND(((((ET64*1.25))-((EU64*1.25)))+AE64),6)</f>
        <v>0</v>
      </c>
      <c r="AE64" s="2">
        <f>ROUND(((EU64*1.25)),6)</f>
        <v>0</v>
      </c>
      <c r="AF64" s="2">
        <f>ROUND(((EV64*1.15)),6)</f>
        <v>0</v>
      </c>
      <c r="AG64" s="2">
        <f t="shared" si="28"/>
        <v>0</v>
      </c>
      <c r="AH64" s="2">
        <f>((EW64*1.15))</f>
        <v>0</v>
      </c>
      <c r="AI64" s="2">
        <f>((EX64*1.25))</f>
        <v>0</v>
      </c>
      <c r="AJ64" s="2">
        <f t="shared" si="30"/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1</v>
      </c>
      <c r="AW64" s="2">
        <v>1</v>
      </c>
      <c r="AX64" s="2"/>
      <c r="AY64" s="2"/>
      <c r="AZ64" s="2">
        <v>1</v>
      </c>
      <c r="BA64" s="2">
        <v>1</v>
      </c>
      <c r="BB64" s="2">
        <v>1</v>
      </c>
      <c r="BC64" s="2">
        <v>1</v>
      </c>
      <c r="BD64" s="2" t="s">
        <v>3</v>
      </c>
      <c r="BE64" s="2" t="s">
        <v>3</v>
      </c>
      <c r="BF64" s="2" t="s">
        <v>3</v>
      </c>
      <c r="BG64" s="2" t="s">
        <v>3</v>
      </c>
      <c r="BH64" s="2">
        <v>3</v>
      </c>
      <c r="BI64" s="2">
        <v>1</v>
      </c>
      <c r="BJ64" s="2" t="s">
        <v>3</v>
      </c>
      <c r="BK64" s="2"/>
      <c r="BL64" s="2"/>
      <c r="BM64" s="2">
        <v>1100</v>
      </c>
      <c r="BN64" s="2">
        <v>0</v>
      </c>
      <c r="BO64" s="2" t="s">
        <v>3</v>
      </c>
      <c r="BP64" s="2">
        <v>0</v>
      </c>
      <c r="BQ64" s="2">
        <v>8</v>
      </c>
      <c r="BR64" s="2">
        <v>0</v>
      </c>
      <c r="BS64" s="2">
        <v>1</v>
      </c>
      <c r="BT64" s="2">
        <v>1</v>
      </c>
      <c r="BU64" s="2">
        <v>1</v>
      </c>
      <c r="BV64" s="2">
        <v>1</v>
      </c>
      <c r="BW64" s="2">
        <v>1</v>
      </c>
      <c r="BX64" s="2">
        <v>1</v>
      </c>
      <c r="BY64" s="2" t="s">
        <v>3</v>
      </c>
      <c r="BZ64" s="2">
        <v>0</v>
      </c>
      <c r="CA64" s="2">
        <v>0</v>
      </c>
      <c r="CB64" s="2"/>
      <c r="CC64" s="2"/>
      <c r="CD64" s="2"/>
      <c r="CE64" s="2"/>
      <c r="CF64" s="2">
        <v>0</v>
      </c>
      <c r="CG64" s="2">
        <v>0</v>
      </c>
      <c r="CH64" s="2"/>
      <c r="CI64" s="2"/>
      <c r="CJ64" s="2"/>
      <c r="CK64" s="2"/>
      <c r="CL64" s="2"/>
      <c r="CM64" s="2">
        <v>0</v>
      </c>
      <c r="CN64" s="2" t="s">
        <v>3</v>
      </c>
      <c r="CO64" s="2">
        <v>0</v>
      </c>
      <c r="CP64" s="2">
        <f t="shared" si="31"/>
        <v>0</v>
      </c>
      <c r="CQ64" s="2">
        <f t="shared" si="32"/>
        <v>0</v>
      </c>
      <c r="CR64" s="2">
        <f t="shared" si="33"/>
        <v>0</v>
      </c>
      <c r="CS64" s="2">
        <f t="shared" si="34"/>
        <v>0</v>
      </c>
      <c r="CT64" s="2">
        <f t="shared" si="35"/>
        <v>0</v>
      </c>
      <c r="CU64" s="2">
        <f t="shared" si="36"/>
        <v>0</v>
      </c>
      <c r="CV64" s="2">
        <f t="shared" si="37"/>
        <v>0</v>
      </c>
      <c r="CW64" s="2">
        <f t="shared" si="38"/>
        <v>0</v>
      </c>
      <c r="CX64" s="2">
        <f t="shared" si="39"/>
        <v>0</v>
      </c>
      <c r="CY64" s="2">
        <f t="shared" si="40"/>
        <v>0</v>
      </c>
      <c r="CZ64" s="2">
        <f t="shared" si="41"/>
        <v>0</v>
      </c>
      <c r="DA64" s="2"/>
      <c r="DB64" s="2"/>
      <c r="DC64" s="2" t="s">
        <v>3</v>
      </c>
      <c r="DD64" s="2" t="s">
        <v>3</v>
      </c>
      <c r="DE64" s="2" t="s">
        <v>11</v>
      </c>
      <c r="DF64" s="2" t="s">
        <v>11</v>
      </c>
      <c r="DG64" s="2" t="s">
        <v>12</v>
      </c>
      <c r="DH64" s="2" t="s">
        <v>3</v>
      </c>
      <c r="DI64" s="2" t="s">
        <v>12</v>
      </c>
      <c r="DJ64" s="2" t="s">
        <v>11</v>
      </c>
      <c r="DK64" s="2" t="s">
        <v>3</v>
      </c>
      <c r="DL64" s="2" t="s">
        <v>3</v>
      </c>
      <c r="DM64" s="2" t="s">
        <v>3</v>
      </c>
      <c r="DN64" s="2">
        <v>0</v>
      </c>
      <c r="DO64" s="2">
        <v>0</v>
      </c>
      <c r="DP64" s="2">
        <v>1</v>
      </c>
      <c r="DQ64" s="2">
        <v>1</v>
      </c>
      <c r="DR64" s="2"/>
      <c r="DS64" s="2"/>
      <c r="DT64" s="2"/>
      <c r="DU64" s="2">
        <v>1013</v>
      </c>
      <c r="DV64" s="2" t="s">
        <v>133</v>
      </c>
      <c r="DW64" s="2" t="s">
        <v>133</v>
      </c>
      <c r="DX64" s="2">
        <v>1</v>
      </c>
      <c r="DY64" s="2"/>
      <c r="DZ64" s="2"/>
      <c r="EA64" s="2"/>
      <c r="EB64" s="2"/>
      <c r="EC64" s="2"/>
      <c r="ED64" s="2"/>
      <c r="EE64" s="2">
        <v>24085541</v>
      </c>
      <c r="EF64" s="2">
        <v>8</v>
      </c>
      <c r="EG64" s="2" t="s">
        <v>134</v>
      </c>
      <c r="EH64" s="2">
        <v>0</v>
      </c>
      <c r="EI64" s="2" t="s">
        <v>3</v>
      </c>
      <c r="EJ64" s="2">
        <v>1</v>
      </c>
      <c r="EK64" s="2">
        <v>1100</v>
      </c>
      <c r="EL64" s="2" t="s">
        <v>135</v>
      </c>
      <c r="EM64" s="2" t="s">
        <v>136</v>
      </c>
      <c r="EN64" s="2"/>
      <c r="EO64" s="2" t="s">
        <v>3</v>
      </c>
      <c r="EP64" s="2"/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>
        <v>0</v>
      </c>
      <c r="FR64" s="2">
        <f t="shared" si="42"/>
        <v>0</v>
      </c>
      <c r="FS64" s="2">
        <v>0</v>
      </c>
      <c r="FT64" s="2"/>
      <c r="FU64" s="2"/>
      <c r="FV64" s="2"/>
      <c r="FW64" s="2"/>
      <c r="FX64" s="2">
        <v>0</v>
      </c>
      <c r="FY64" s="2">
        <v>0</v>
      </c>
      <c r="FZ64" s="2"/>
      <c r="GA64" s="2" t="s">
        <v>3</v>
      </c>
      <c r="GB64" s="2"/>
      <c r="GC64" s="2"/>
      <c r="GD64" s="2">
        <v>0</v>
      </c>
      <c r="GE64" s="2"/>
      <c r="GF64" s="2">
        <v>-1779017985</v>
      </c>
      <c r="GG64" s="2">
        <v>2</v>
      </c>
      <c r="GH64" s="2">
        <v>0</v>
      </c>
      <c r="GI64" s="2">
        <v>-2</v>
      </c>
      <c r="GJ64" s="2">
        <v>0</v>
      </c>
      <c r="GK64" s="2">
        <f>ROUND(R64*(R12)/100,2)</f>
        <v>0</v>
      </c>
      <c r="GL64" s="2">
        <f t="shared" si="43"/>
        <v>0</v>
      </c>
      <c r="GM64" s="2">
        <f t="shared" si="44"/>
        <v>0</v>
      </c>
      <c r="GN64" s="2">
        <f t="shared" si="45"/>
        <v>0</v>
      </c>
      <c r="GO64" s="2">
        <f t="shared" si="46"/>
        <v>0</v>
      </c>
      <c r="GP64" s="2">
        <f t="shared" si="47"/>
        <v>0</v>
      </c>
      <c r="GQ64" s="2"/>
      <c r="GR64" s="2">
        <v>0</v>
      </c>
      <c r="GS64" s="2">
        <v>3</v>
      </c>
      <c r="GT64" s="2">
        <v>0</v>
      </c>
      <c r="GU64" s="2" t="s">
        <v>3</v>
      </c>
      <c r="GV64" s="2">
        <f t="shared" si="48"/>
        <v>0</v>
      </c>
      <c r="GW64" s="2">
        <v>1</v>
      </c>
      <c r="GX64" s="2">
        <f t="shared" si="49"/>
        <v>0</v>
      </c>
      <c r="GY64" s="2"/>
      <c r="GZ64" s="2"/>
      <c r="HA64" s="2">
        <v>0</v>
      </c>
      <c r="HB64" s="2">
        <v>0</v>
      </c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>
        <v>0</v>
      </c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pans="1:255">
      <c r="A65">
        <v>17</v>
      </c>
      <c r="B65">
        <v>1</v>
      </c>
      <c r="E65" t="s">
        <v>131</v>
      </c>
      <c r="F65" t="s">
        <v>52</v>
      </c>
      <c r="G65" t="s">
        <v>132</v>
      </c>
      <c r="H65" t="s">
        <v>133</v>
      </c>
      <c r="I65">
        <v>1</v>
      </c>
      <c r="J65">
        <v>0</v>
      </c>
      <c r="O65">
        <f t="shared" si="14"/>
        <v>444088.16</v>
      </c>
      <c r="P65">
        <f t="shared" si="15"/>
        <v>444088.16</v>
      </c>
      <c r="Q65">
        <f t="shared" si="16"/>
        <v>0</v>
      </c>
      <c r="R65">
        <f t="shared" si="17"/>
        <v>0</v>
      </c>
      <c r="S65">
        <f t="shared" si="18"/>
        <v>0</v>
      </c>
      <c r="T65">
        <f t="shared" si="19"/>
        <v>0</v>
      </c>
      <c r="U65">
        <f t="shared" si="20"/>
        <v>0</v>
      </c>
      <c r="V65">
        <f t="shared" si="21"/>
        <v>0</v>
      </c>
      <c r="W65">
        <f t="shared" si="22"/>
        <v>0</v>
      </c>
      <c r="X65">
        <f t="shared" si="23"/>
        <v>0</v>
      </c>
      <c r="Y65">
        <f t="shared" si="24"/>
        <v>0</v>
      </c>
      <c r="AA65">
        <v>34847877</v>
      </c>
      <c r="AB65">
        <f t="shared" si="25"/>
        <v>75269.179999999993</v>
      </c>
      <c r="AC65">
        <f t="shared" si="26"/>
        <v>75269.179999999993</v>
      </c>
      <c r="AD65">
        <f>ROUND(((((ET65*1.25))-((EU65*1.25)))+AE65),6)</f>
        <v>0</v>
      </c>
      <c r="AE65">
        <f>ROUND(((EU65*1.25)),6)</f>
        <v>0</v>
      </c>
      <c r="AF65">
        <f>ROUND(((EV65*1.15)),6)</f>
        <v>0</v>
      </c>
      <c r="AG65">
        <f t="shared" si="28"/>
        <v>0</v>
      </c>
      <c r="AH65">
        <f>((EW65*1.15))</f>
        <v>0</v>
      </c>
      <c r="AI65">
        <f>((EX65*1.25))</f>
        <v>0</v>
      </c>
      <c r="AJ65">
        <f t="shared" si="30"/>
        <v>0</v>
      </c>
      <c r="AK65">
        <v>75269.179999999993</v>
      </c>
      <c r="AL65">
        <v>75269.179999999993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5.9</v>
      </c>
      <c r="BD65" t="s">
        <v>3</v>
      </c>
      <c r="BE65" t="s">
        <v>3</v>
      </c>
      <c r="BF65" t="s">
        <v>3</v>
      </c>
      <c r="BG65" t="s">
        <v>3</v>
      </c>
      <c r="BH65">
        <v>3</v>
      </c>
      <c r="BI65">
        <v>1</v>
      </c>
      <c r="BJ65" t="s">
        <v>3</v>
      </c>
      <c r="BM65">
        <v>1100</v>
      </c>
      <c r="BN65">
        <v>0</v>
      </c>
      <c r="BO65" t="s">
        <v>3</v>
      </c>
      <c r="BP65">
        <v>0</v>
      </c>
      <c r="BQ65">
        <v>8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0</v>
      </c>
      <c r="CA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31"/>
        <v>444088.16</v>
      </c>
      <c r="CQ65">
        <f t="shared" si="32"/>
        <v>444088.16200000001</v>
      </c>
      <c r="CR65">
        <f t="shared" si="33"/>
        <v>0</v>
      </c>
      <c r="CS65">
        <f t="shared" si="34"/>
        <v>0</v>
      </c>
      <c r="CT65">
        <f t="shared" si="35"/>
        <v>0</v>
      </c>
      <c r="CU65">
        <f t="shared" si="36"/>
        <v>0</v>
      </c>
      <c r="CV65">
        <f t="shared" si="37"/>
        <v>0</v>
      </c>
      <c r="CW65">
        <f t="shared" si="38"/>
        <v>0</v>
      </c>
      <c r="CX65">
        <f t="shared" si="39"/>
        <v>0</v>
      </c>
      <c r="CY65">
        <f t="shared" si="40"/>
        <v>0</v>
      </c>
      <c r="CZ65">
        <f t="shared" si="41"/>
        <v>0</v>
      </c>
      <c r="DC65" t="s">
        <v>3</v>
      </c>
      <c r="DD65" t="s">
        <v>3</v>
      </c>
      <c r="DE65" t="s">
        <v>11</v>
      </c>
      <c r="DF65" t="s">
        <v>11</v>
      </c>
      <c r="DG65" t="s">
        <v>12</v>
      </c>
      <c r="DH65" t="s">
        <v>3</v>
      </c>
      <c r="DI65" t="s">
        <v>12</v>
      </c>
      <c r="DJ65" t="s">
        <v>11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1013</v>
      </c>
      <c r="DV65" t="s">
        <v>133</v>
      </c>
      <c r="DW65" t="s">
        <v>133</v>
      </c>
      <c r="DX65">
        <v>1</v>
      </c>
      <c r="EE65">
        <v>24085541</v>
      </c>
      <c r="EF65">
        <v>8</v>
      </c>
      <c r="EG65" t="s">
        <v>134</v>
      </c>
      <c r="EH65">
        <v>0</v>
      </c>
      <c r="EI65" t="s">
        <v>3</v>
      </c>
      <c r="EJ65">
        <v>1</v>
      </c>
      <c r="EK65">
        <v>1100</v>
      </c>
      <c r="EL65" t="s">
        <v>135</v>
      </c>
      <c r="EM65" t="s">
        <v>136</v>
      </c>
      <c r="EO65" t="s">
        <v>3</v>
      </c>
      <c r="EQ65">
        <v>0</v>
      </c>
      <c r="ER65">
        <v>75269.179999999993</v>
      </c>
      <c r="ES65">
        <v>75269.179999999993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5</v>
      </c>
      <c r="FC65">
        <v>1</v>
      </c>
      <c r="FD65">
        <v>18</v>
      </c>
      <c r="FF65">
        <v>524024</v>
      </c>
      <c r="FQ65">
        <v>0</v>
      </c>
      <c r="FR65">
        <f t="shared" si="42"/>
        <v>0</v>
      </c>
      <c r="FS65">
        <v>0</v>
      </c>
      <c r="FX65">
        <v>0</v>
      </c>
      <c r="FY65">
        <v>0</v>
      </c>
      <c r="GA65" t="s">
        <v>137</v>
      </c>
      <c r="GD65">
        <v>0</v>
      </c>
      <c r="GF65">
        <v>-1779017985</v>
      </c>
      <c r="GG65">
        <v>2</v>
      </c>
      <c r="GH65">
        <v>3</v>
      </c>
      <c r="GI65">
        <v>4</v>
      </c>
      <c r="GJ65">
        <v>0</v>
      </c>
      <c r="GK65">
        <f>ROUND(R65*(S12)/100,2)</f>
        <v>0</v>
      </c>
      <c r="GL65">
        <f t="shared" si="43"/>
        <v>0</v>
      </c>
      <c r="GM65">
        <f t="shared" si="44"/>
        <v>444088.16</v>
      </c>
      <c r="GN65">
        <f t="shared" si="45"/>
        <v>444088.16</v>
      </c>
      <c r="GO65">
        <f t="shared" si="46"/>
        <v>0</v>
      </c>
      <c r="GP65">
        <f t="shared" si="47"/>
        <v>0</v>
      </c>
      <c r="GR65">
        <v>1</v>
      </c>
      <c r="GS65">
        <v>1</v>
      </c>
      <c r="GT65">
        <v>0</v>
      </c>
      <c r="GU65" t="s">
        <v>3</v>
      </c>
      <c r="GV65">
        <f t="shared" si="48"/>
        <v>0</v>
      </c>
      <c r="GW65">
        <v>1</v>
      </c>
      <c r="GX65">
        <f t="shared" si="49"/>
        <v>0</v>
      </c>
      <c r="HA65">
        <v>0</v>
      </c>
      <c r="HB65">
        <v>0</v>
      </c>
      <c r="IK65">
        <v>0</v>
      </c>
    </row>
    <row r="66" spans="1:255">
      <c r="A66" s="2">
        <v>17</v>
      </c>
      <c r="B66" s="2">
        <v>1</v>
      </c>
      <c r="C66" s="2"/>
      <c r="D66" s="2"/>
      <c r="E66" s="2" t="s">
        <v>138</v>
      </c>
      <c r="F66" s="2" t="s">
        <v>37</v>
      </c>
      <c r="G66" s="2" t="s">
        <v>38</v>
      </c>
      <c r="H66" s="2" t="s">
        <v>39</v>
      </c>
      <c r="I66" s="2">
        <v>39</v>
      </c>
      <c r="J66" s="2">
        <v>0</v>
      </c>
      <c r="K66" s="2"/>
      <c r="L66" s="2"/>
      <c r="M66" s="2"/>
      <c r="N66" s="2"/>
      <c r="O66" s="2">
        <f t="shared" si="14"/>
        <v>259.35000000000002</v>
      </c>
      <c r="P66" s="2">
        <f t="shared" si="15"/>
        <v>0</v>
      </c>
      <c r="Q66" s="2">
        <f t="shared" si="16"/>
        <v>259.35000000000002</v>
      </c>
      <c r="R66" s="2">
        <f t="shared" si="17"/>
        <v>0</v>
      </c>
      <c r="S66" s="2">
        <f t="shared" si="18"/>
        <v>0</v>
      </c>
      <c r="T66" s="2">
        <f t="shared" si="19"/>
        <v>0</v>
      </c>
      <c r="U66" s="2">
        <f t="shared" si="20"/>
        <v>0</v>
      </c>
      <c r="V66" s="2">
        <f t="shared" si="21"/>
        <v>0</v>
      </c>
      <c r="W66" s="2">
        <f t="shared" si="22"/>
        <v>0</v>
      </c>
      <c r="X66" s="2">
        <f t="shared" si="23"/>
        <v>0</v>
      </c>
      <c r="Y66" s="2">
        <f t="shared" si="24"/>
        <v>0</v>
      </c>
      <c r="Z66" s="2"/>
      <c r="AA66" s="2">
        <v>34847864</v>
      </c>
      <c r="AB66" s="2">
        <f t="shared" si="25"/>
        <v>6.65</v>
      </c>
      <c r="AC66" s="2">
        <f t="shared" si="26"/>
        <v>0</v>
      </c>
      <c r="AD66" s="2">
        <f>ROUND(((ET66)+ROUND(((EU66)*1.85),2)),6)</f>
        <v>6.65</v>
      </c>
      <c r="AE66" s="2">
        <f>ROUND(((EU66)+ROUND(((EU66)*1.85),2)),6)</f>
        <v>0</v>
      </c>
      <c r="AF66" s="2">
        <f>ROUND(((EV66)+ROUND(((EV66)*1.85),2)),6)</f>
        <v>0</v>
      </c>
      <c r="AG66" s="2">
        <f t="shared" si="28"/>
        <v>0</v>
      </c>
      <c r="AH66" s="2">
        <f>(EW66)</f>
        <v>0</v>
      </c>
      <c r="AI66" s="2">
        <f>(EX66)</f>
        <v>0</v>
      </c>
      <c r="AJ66" s="2">
        <f t="shared" si="30"/>
        <v>0</v>
      </c>
      <c r="AK66" s="2">
        <v>6.65</v>
      </c>
      <c r="AL66" s="2">
        <v>0</v>
      </c>
      <c r="AM66" s="2">
        <v>6.65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1</v>
      </c>
      <c r="AW66" s="2">
        <v>1</v>
      </c>
      <c r="AX66" s="2"/>
      <c r="AY66" s="2"/>
      <c r="AZ66" s="2">
        <v>1</v>
      </c>
      <c r="BA66" s="2">
        <v>1</v>
      </c>
      <c r="BB66" s="2">
        <v>1</v>
      </c>
      <c r="BC66" s="2">
        <v>1</v>
      </c>
      <c r="BD66" s="2" t="s">
        <v>3</v>
      </c>
      <c r="BE66" s="2" t="s">
        <v>3</v>
      </c>
      <c r="BF66" s="2" t="s">
        <v>3</v>
      </c>
      <c r="BG66" s="2" t="s">
        <v>3</v>
      </c>
      <c r="BH66" s="2">
        <v>0</v>
      </c>
      <c r="BI66" s="2">
        <v>1</v>
      </c>
      <c r="BJ66" s="2" t="s">
        <v>40</v>
      </c>
      <c r="BK66" s="2"/>
      <c r="BL66" s="2"/>
      <c r="BM66" s="2">
        <v>700001</v>
      </c>
      <c r="BN66" s="2">
        <v>0</v>
      </c>
      <c r="BO66" s="2" t="s">
        <v>3</v>
      </c>
      <c r="BP66" s="2">
        <v>0</v>
      </c>
      <c r="BQ66" s="2">
        <v>10</v>
      </c>
      <c r="BR66" s="2">
        <v>0</v>
      </c>
      <c r="BS66" s="2">
        <v>1</v>
      </c>
      <c r="BT66" s="2">
        <v>1</v>
      </c>
      <c r="BU66" s="2">
        <v>1</v>
      </c>
      <c r="BV66" s="2">
        <v>1</v>
      </c>
      <c r="BW66" s="2">
        <v>1</v>
      </c>
      <c r="BX66" s="2">
        <v>1</v>
      </c>
      <c r="BY66" s="2" t="s">
        <v>3</v>
      </c>
      <c r="BZ66" s="2">
        <v>0</v>
      </c>
      <c r="CA66" s="2">
        <v>0</v>
      </c>
      <c r="CB66" s="2"/>
      <c r="CC66" s="2"/>
      <c r="CD66" s="2"/>
      <c r="CE66" s="2"/>
      <c r="CF66" s="2">
        <v>0</v>
      </c>
      <c r="CG66" s="2">
        <v>0</v>
      </c>
      <c r="CH66" s="2"/>
      <c r="CI66" s="2"/>
      <c r="CJ66" s="2"/>
      <c r="CK66" s="2"/>
      <c r="CL66" s="2"/>
      <c r="CM66" s="2">
        <v>0</v>
      </c>
      <c r="CN66" s="2" t="s">
        <v>3</v>
      </c>
      <c r="CO66" s="2">
        <v>0</v>
      </c>
      <c r="CP66" s="2">
        <f t="shared" si="31"/>
        <v>259.35000000000002</v>
      </c>
      <c r="CQ66" s="2">
        <f t="shared" si="32"/>
        <v>0</v>
      </c>
      <c r="CR66" s="2">
        <f t="shared" si="33"/>
        <v>6.65</v>
      </c>
      <c r="CS66" s="2">
        <f t="shared" si="34"/>
        <v>0</v>
      </c>
      <c r="CT66" s="2">
        <f t="shared" si="35"/>
        <v>0</v>
      </c>
      <c r="CU66" s="2">
        <f t="shared" si="36"/>
        <v>0</v>
      </c>
      <c r="CV66" s="2">
        <f t="shared" si="37"/>
        <v>0</v>
      </c>
      <c r="CW66" s="2">
        <f t="shared" si="38"/>
        <v>0</v>
      </c>
      <c r="CX66" s="2">
        <f t="shared" si="39"/>
        <v>0</v>
      </c>
      <c r="CY66" s="2">
        <f t="shared" si="40"/>
        <v>0</v>
      </c>
      <c r="CZ66" s="2">
        <f t="shared" si="41"/>
        <v>0</v>
      </c>
      <c r="DA66" s="2"/>
      <c r="DB66" s="2"/>
      <c r="DC66" s="2" t="s">
        <v>3</v>
      </c>
      <c r="DD66" s="2" t="s">
        <v>3</v>
      </c>
      <c r="DE66" s="2" t="s">
        <v>3</v>
      </c>
      <c r="DF66" s="2" t="s">
        <v>3</v>
      </c>
      <c r="DG66" s="2" t="s">
        <v>3</v>
      </c>
      <c r="DH66" s="2" t="s">
        <v>3</v>
      </c>
      <c r="DI66" s="2" t="s">
        <v>3</v>
      </c>
      <c r="DJ66" s="2" t="s">
        <v>3</v>
      </c>
      <c r="DK66" s="2" t="s">
        <v>3</v>
      </c>
      <c r="DL66" s="2" t="s">
        <v>3</v>
      </c>
      <c r="DM66" s="2" t="s">
        <v>3</v>
      </c>
      <c r="DN66" s="2">
        <v>0</v>
      </c>
      <c r="DO66" s="2">
        <v>0</v>
      </c>
      <c r="DP66" s="2">
        <v>1</v>
      </c>
      <c r="DQ66" s="2">
        <v>1</v>
      </c>
      <c r="DR66" s="2"/>
      <c r="DS66" s="2"/>
      <c r="DT66" s="2"/>
      <c r="DU66" s="2">
        <v>1013</v>
      </c>
      <c r="DV66" s="2" t="s">
        <v>39</v>
      </c>
      <c r="DW66" s="2" t="s">
        <v>39</v>
      </c>
      <c r="DX66" s="2">
        <v>1</v>
      </c>
      <c r="DY66" s="2"/>
      <c r="DZ66" s="2"/>
      <c r="EA66" s="2"/>
      <c r="EB66" s="2"/>
      <c r="EC66" s="2"/>
      <c r="ED66" s="2"/>
      <c r="EE66" s="2">
        <v>24085297</v>
      </c>
      <c r="EF66" s="2">
        <v>10</v>
      </c>
      <c r="EG66" s="2" t="s">
        <v>41</v>
      </c>
      <c r="EH66" s="2">
        <v>0</v>
      </c>
      <c r="EI66" s="2" t="s">
        <v>3</v>
      </c>
      <c r="EJ66" s="2">
        <v>1</v>
      </c>
      <c r="EK66" s="2">
        <v>700001</v>
      </c>
      <c r="EL66" s="2" t="s">
        <v>42</v>
      </c>
      <c r="EM66" s="2" t="s">
        <v>43</v>
      </c>
      <c r="EN66" s="2"/>
      <c r="EO66" s="2" t="s">
        <v>3</v>
      </c>
      <c r="EP66" s="2"/>
      <c r="EQ66" s="2">
        <v>0</v>
      </c>
      <c r="ER66" s="2">
        <v>6.65</v>
      </c>
      <c r="ES66" s="2">
        <v>0</v>
      </c>
      <c r="ET66" s="2">
        <v>6.65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>
        <v>0</v>
      </c>
      <c r="FR66" s="2">
        <f t="shared" si="42"/>
        <v>0</v>
      </c>
      <c r="FS66" s="2">
        <v>0</v>
      </c>
      <c r="FT66" s="2"/>
      <c r="FU66" s="2"/>
      <c r="FV66" s="2"/>
      <c r="FW66" s="2"/>
      <c r="FX66" s="2">
        <v>0</v>
      </c>
      <c r="FY66" s="2">
        <v>0</v>
      </c>
      <c r="FZ66" s="2"/>
      <c r="GA66" s="2" t="s">
        <v>3</v>
      </c>
      <c r="GB66" s="2"/>
      <c r="GC66" s="2"/>
      <c r="GD66" s="2">
        <v>0</v>
      </c>
      <c r="GE66" s="2"/>
      <c r="GF66" s="2">
        <v>-811322024</v>
      </c>
      <c r="GG66" s="2">
        <v>2</v>
      </c>
      <c r="GH66" s="2">
        <v>1</v>
      </c>
      <c r="GI66" s="2">
        <v>-2</v>
      </c>
      <c r="GJ66" s="2">
        <v>0</v>
      </c>
      <c r="GK66" s="2">
        <f>ROUND(R66*(R12)/100,2)</f>
        <v>0</v>
      </c>
      <c r="GL66" s="2">
        <f t="shared" si="43"/>
        <v>0</v>
      </c>
      <c r="GM66" s="2">
        <f t="shared" si="44"/>
        <v>259.35000000000002</v>
      </c>
      <c r="GN66" s="2">
        <f t="shared" si="45"/>
        <v>259.35000000000002</v>
      </c>
      <c r="GO66" s="2">
        <f t="shared" si="46"/>
        <v>0</v>
      </c>
      <c r="GP66" s="2">
        <f t="shared" si="47"/>
        <v>0</v>
      </c>
      <c r="GQ66" s="2"/>
      <c r="GR66" s="2">
        <v>0</v>
      </c>
      <c r="GS66" s="2">
        <v>3</v>
      </c>
      <c r="GT66" s="2">
        <v>0</v>
      </c>
      <c r="GU66" s="2" t="s">
        <v>3</v>
      </c>
      <c r="GV66" s="2">
        <f t="shared" si="48"/>
        <v>0</v>
      </c>
      <c r="GW66" s="2">
        <v>1</v>
      </c>
      <c r="GX66" s="2">
        <f t="shared" si="49"/>
        <v>0</v>
      </c>
      <c r="GY66" s="2"/>
      <c r="GZ66" s="2"/>
      <c r="HA66" s="2">
        <v>0</v>
      </c>
      <c r="HB66" s="2">
        <v>0</v>
      </c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>
        <v>0</v>
      </c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5">
      <c r="A67">
        <v>17</v>
      </c>
      <c r="B67">
        <v>1</v>
      </c>
      <c r="E67" t="s">
        <v>138</v>
      </c>
      <c r="F67" t="s">
        <v>37</v>
      </c>
      <c r="G67" t="s">
        <v>38</v>
      </c>
      <c r="H67" t="s">
        <v>39</v>
      </c>
      <c r="I67">
        <v>39</v>
      </c>
      <c r="J67">
        <v>0</v>
      </c>
      <c r="O67">
        <f t="shared" si="14"/>
        <v>1610.56</v>
      </c>
      <c r="P67">
        <f t="shared" si="15"/>
        <v>0</v>
      </c>
      <c r="Q67">
        <f t="shared" si="16"/>
        <v>1610.56</v>
      </c>
      <c r="R67">
        <f t="shared" si="17"/>
        <v>0</v>
      </c>
      <c r="S67">
        <f t="shared" si="18"/>
        <v>0</v>
      </c>
      <c r="T67">
        <f t="shared" si="19"/>
        <v>0</v>
      </c>
      <c r="U67">
        <f t="shared" si="20"/>
        <v>0</v>
      </c>
      <c r="V67">
        <f t="shared" si="21"/>
        <v>0</v>
      </c>
      <c r="W67">
        <f t="shared" si="22"/>
        <v>0</v>
      </c>
      <c r="X67">
        <f t="shared" si="23"/>
        <v>0</v>
      </c>
      <c r="Y67">
        <f t="shared" si="24"/>
        <v>0</v>
      </c>
      <c r="AA67">
        <v>34847877</v>
      </c>
      <c r="AB67">
        <f t="shared" si="25"/>
        <v>6.65</v>
      </c>
      <c r="AC67">
        <f t="shared" si="26"/>
        <v>0</v>
      </c>
      <c r="AD67">
        <f>ROUND(((ET67)+ROUND(((EU67)*1.85),2)),6)</f>
        <v>6.65</v>
      </c>
      <c r="AE67">
        <f>ROUND(((EU67)+ROUND(((EU67)*1.85),2)),6)</f>
        <v>0</v>
      </c>
      <c r="AF67">
        <f>ROUND(((EV67)+ROUND(((EV67)*1.85),2)),6)</f>
        <v>0</v>
      </c>
      <c r="AG67">
        <f t="shared" si="28"/>
        <v>0</v>
      </c>
      <c r="AH67">
        <f>(EW67)</f>
        <v>0</v>
      </c>
      <c r="AI67">
        <f>(EX67)</f>
        <v>0</v>
      </c>
      <c r="AJ67">
        <f t="shared" si="30"/>
        <v>0</v>
      </c>
      <c r="AK67">
        <v>6.65</v>
      </c>
      <c r="AL67">
        <v>0</v>
      </c>
      <c r="AM67">
        <v>6.65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</v>
      </c>
      <c r="AW67">
        <v>1</v>
      </c>
      <c r="AZ67">
        <v>1</v>
      </c>
      <c r="BA67">
        <v>16.440000000000001</v>
      </c>
      <c r="BB67">
        <v>6.21</v>
      </c>
      <c r="BC67">
        <v>5.9</v>
      </c>
      <c r="BD67" t="s">
        <v>3</v>
      </c>
      <c r="BE67" t="s">
        <v>3</v>
      </c>
      <c r="BF67" t="s">
        <v>3</v>
      </c>
      <c r="BG67" t="s">
        <v>3</v>
      </c>
      <c r="BH67">
        <v>0</v>
      </c>
      <c r="BI67">
        <v>1</v>
      </c>
      <c r="BJ67" t="s">
        <v>40</v>
      </c>
      <c r="BM67">
        <v>700001</v>
      </c>
      <c r="BN67">
        <v>0</v>
      </c>
      <c r="BO67" t="s">
        <v>3</v>
      </c>
      <c r="BP67">
        <v>0</v>
      </c>
      <c r="BQ67">
        <v>10</v>
      </c>
      <c r="BR67">
        <v>0</v>
      </c>
      <c r="BS67">
        <v>16.440000000000001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0</v>
      </c>
      <c r="CA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 t="shared" si="31"/>
        <v>1610.56</v>
      </c>
      <c r="CQ67">
        <f t="shared" si="32"/>
        <v>0</v>
      </c>
      <c r="CR67">
        <f t="shared" si="33"/>
        <v>41.296500000000002</v>
      </c>
      <c r="CS67">
        <f t="shared" si="34"/>
        <v>0</v>
      </c>
      <c r="CT67">
        <f t="shared" si="35"/>
        <v>0</v>
      </c>
      <c r="CU67">
        <f t="shared" si="36"/>
        <v>0</v>
      </c>
      <c r="CV67">
        <f t="shared" si="37"/>
        <v>0</v>
      </c>
      <c r="CW67">
        <f t="shared" si="38"/>
        <v>0</v>
      </c>
      <c r="CX67">
        <f t="shared" si="39"/>
        <v>0</v>
      </c>
      <c r="CY67">
        <f t="shared" si="40"/>
        <v>0</v>
      </c>
      <c r="CZ67">
        <f t="shared" si="41"/>
        <v>0</v>
      </c>
      <c r="DC67" t="s">
        <v>3</v>
      </c>
      <c r="DD67" t="s">
        <v>3</v>
      </c>
      <c r="DE67" t="s">
        <v>3</v>
      </c>
      <c r="DF67" t="s">
        <v>3</v>
      </c>
      <c r="DG67" t="s">
        <v>3</v>
      </c>
      <c r="DH67" t="s">
        <v>3</v>
      </c>
      <c r="DI67" t="s">
        <v>3</v>
      </c>
      <c r="DJ67" t="s">
        <v>3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U67">
        <v>1013</v>
      </c>
      <c r="DV67" t="s">
        <v>39</v>
      </c>
      <c r="DW67" t="s">
        <v>39</v>
      </c>
      <c r="DX67">
        <v>1</v>
      </c>
      <c r="EE67">
        <v>24085297</v>
      </c>
      <c r="EF67">
        <v>10</v>
      </c>
      <c r="EG67" t="s">
        <v>41</v>
      </c>
      <c r="EH67">
        <v>0</v>
      </c>
      <c r="EI67" t="s">
        <v>3</v>
      </c>
      <c r="EJ67">
        <v>1</v>
      </c>
      <c r="EK67">
        <v>700001</v>
      </c>
      <c r="EL67" t="s">
        <v>42</v>
      </c>
      <c r="EM67" t="s">
        <v>43</v>
      </c>
      <c r="EO67" t="s">
        <v>3</v>
      </c>
      <c r="EQ67">
        <v>0</v>
      </c>
      <c r="ER67">
        <v>6.65</v>
      </c>
      <c r="ES67">
        <v>0</v>
      </c>
      <c r="ET67">
        <v>6.65</v>
      </c>
      <c r="EU67">
        <v>0</v>
      </c>
      <c r="EV67">
        <v>0</v>
      </c>
      <c r="EW67">
        <v>0</v>
      </c>
      <c r="EX67">
        <v>0</v>
      </c>
      <c r="EY67">
        <v>0</v>
      </c>
      <c r="FQ67">
        <v>0</v>
      </c>
      <c r="FR67">
        <f t="shared" si="42"/>
        <v>0</v>
      </c>
      <c r="FS67">
        <v>0</v>
      </c>
      <c r="FX67">
        <v>0</v>
      </c>
      <c r="FY67">
        <v>0</v>
      </c>
      <c r="GA67" t="s">
        <v>3</v>
      </c>
      <c r="GD67">
        <v>0</v>
      </c>
      <c r="GF67">
        <v>-811322024</v>
      </c>
      <c r="GG67">
        <v>2</v>
      </c>
      <c r="GH67">
        <v>1</v>
      </c>
      <c r="GI67">
        <v>4</v>
      </c>
      <c r="GJ67">
        <v>0</v>
      </c>
      <c r="GK67">
        <f>ROUND(R67*(S12)/100,2)</f>
        <v>0</v>
      </c>
      <c r="GL67">
        <f t="shared" si="43"/>
        <v>0</v>
      </c>
      <c r="GM67">
        <f t="shared" si="44"/>
        <v>1610.56</v>
      </c>
      <c r="GN67">
        <f t="shared" si="45"/>
        <v>1610.56</v>
      </c>
      <c r="GO67">
        <f t="shared" si="46"/>
        <v>0</v>
      </c>
      <c r="GP67">
        <f t="shared" si="47"/>
        <v>0</v>
      </c>
      <c r="GR67">
        <v>0</v>
      </c>
      <c r="GS67">
        <v>3</v>
      </c>
      <c r="GT67">
        <v>0</v>
      </c>
      <c r="GU67" t="s">
        <v>3</v>
      </c>
      <c r="GV67">
        <f t="shared" si="48"/>
        <v>0</v>
      </c>
      <c r="GW67">
        <v>1</v>
      </c>
      <c r="GX67">
        <f t="shared" si="49"/>
        <v>0</v>
      </c>
      <c r="HA67">
        <v>0</v>
      </c>
      <c r="HB67">
        <v>0</v>
      </c>
      <c r="IK67">
        <v>0</v>
      </c>
    </row>
    <row r="69" spans="1:255">
      <c r="A69" s="3">
        <v>51</v>
      </c>
      <c r="B69" s="3">
        <f>B20</f>
        <v>1</v>
      </c>
      <c r="C69" s="3">
        <f>A20</f>
        <v>3</v>
      </c>
      <c r="D69" s="3">
        <f>ROW(A20)</f>
        <v>20</v>
      </c>
      <c r="E69" s="3"/>
      <c r="F69" s="3" t="str">
        <f>IF(F20&lt;&gt;"",F20,"")</f>
        <v>Новая локальная смета</v>
      </c>
      <c r="G69" s="3" t="str">
        <f>IF(G20&lt;&gt;"",G20,"")</f>
        <v>Новая локальная смета</v>
      </c>
      <c r="H69" s="3">
        <v>0</v>
      </c>
      <c r="I69" s="3"/>
      <c r="J69" s="3"/>
      <c r="K69" s="3"/>
      <c r="L69" s="3"/>
      <c r="M69" s="3"/>
      <c r="N69" s="3"/>
      <c r="O69" s="3">
        <f t="shared" ref="O69:T69" si="59">ROUND(AB69,2)</f>
        <v>88203.35</v>
      </c>
      <c r="P69" s="3">
        <f t="shared" si="59"/>
        <v>75017.14</v>
      </c>
      <c r="Q69" s="3">
        <f t="shared" si="59"/>
        <v>8820.74</v>
      </c>
      <c r="R69" s="3">
        <f t="shared" si="59"/>
        <v>547.05999999999995</v>
      </c>
      <c r="S69" s="3">
        <f t="shared" si="59"/>
        <v>4365.47</v>
      </c>
      <c r="T69" s="3">
        <f t="shared" si="59"/>
        <v>0</v>
      </c>
      <c r="U69" s="3">
        <f>AH69</f>
        <v>656.96214963999989</v>
      </c>
      <c r="V69" s="3">
        <f>AI69</f>
        <v>45.324802749999996</v>
      </c>
      <c r="W69" s="3">
        <f>ROUND(AJ69,2)</f>
        <v>0</v>
      </c>
      <c r="X69" s="3">
        <f>ROUND(AK69,2)</f>
        <v>6164.49</v>
      </c>
      <c r="Y69" s="3">
        <f>ROUND(AL69,2)</f>
        <v>3580.09</v>
      </c>
      <c r="Z69" s="3"/>
      <c r="AA69" s="3"/>
      <c r="AB69" s="3">
        <f>ROUND(SUMIF(AA24:AA67,"=34847864",O24:O67),2)</f>
        <v>88203.35</v>
      </c>
      <c r="AC69" s="3">
        <f>ROUND(SUMIF(AA24:AA67,"=34847864",P24:P67),2)</f>
        <v>75017.14</v>
      </c>
      <c r="AD69" s="3">
        <f>ROUND(SUMIF(AA24:AA67,"=34847864",Q24:Q67),2)</f>
        <v>8820.74</v>
      </c>
      <c r="AE69" s="3">
        <f>ROUND(SUMIF(AA24:AA67,"=34847864",R24:R67),2)</f>
        <v>547.05999999999995</v>
      </c>
      <c r="AF69" s="3">
        <f>ROUND(SUMIF(AA24:AA67,"=34847864",S24:S67),2)</f>
        <v>4365.47</v>
      </c>
      <c r="AG69" s="3">
        <f>ROUND(SUMIF(AA24:AA67,"=34847864",T24:T67),2)</f>
        <v>0</v>
      </c>
      <c r="AH69" s="3">
        <f>SUMIF(AA24:AA67,"=34847864",U24:U67)</f>
        <v>656.96214963999989</v>
      </c>
      <c r="AI69" s="3">
        <f>SUMIF(AA24:AA67,"=34847864",V24:V67)</f>
        <v>45.324802749999996</v>
      </c>
      <c r="AJ69" s="3">
        <f>ROUND(SUMIF(AA24:AA67,"=34847864",W24:W67),2)</f>
        <v>0</v>
      </c>
      <c r="AK69" s="3">
        <f>ROUND(SUMIF(AA24:AA67,"=34847864",X24:X67),2)</f>
        <v>6164.49</v>
      </c>
      <c r="AL69" s="3">
        <f>ROUND(SUMIF(AA24:AA67,"=34847864",Y24:Y67),2)</f>
        <v>3580.09</v>
      </c>
      <c r="AM69" s="3"/>
      <c r="AN69" s="3"/>
      <c r="AO69" s="3">
        <f t="shared" ref="AO69:BC69" si="60">ROUND(BX69,2)</f>
        <v>0</v>
      </c>
      <c r="AP69" s="3">
        <f t="shared" si="60"/>
        <v>0</v>
      </c>
      <c r="AQ69" s="3">
        <f t="shared" si="60"/>
        <v>0</v>
      </c>
      <c r="AR69" s="3">
        <f t="shared" si="60"/>
        <v>97947.93</v>
      </c>
      <c r="AS69" s="3">
        <f t="shared" si="60"/>
        <v>97947.93</v>
      </c>
      <c r="AT69" s="3">
        <f t="shared" si="60"/>
        <v>0</v>
      </c>
      <c r="AU69" s="3">
        <f t="shared" si="60"/>
        <v>0</v>
      </c>
      <c r="AV69" s="3">
        <f t="shared" si="60"/>
        <v>75017.14</v>
      </c>
      <c r="AW69" s="3">
        <f t="shared" si="60"/>
        <v>75017.14</v>
      </c>
      <c r="AX69" s="3">
        <f t="shared" si="60"/>
        <v>0</v>
      </c>
      <c r="AY69" s="3">
        <f t="shared" si="60"/>
        <v>75017.14</v>
      </c>
      <c r="AZ69" s="3">
        <f t="shared" si="60"/>
        <v>0</v>
      </c>
      <c r="BA69" s="3">
        <f t="shared" si="60"/>
        <v>0</v>
      </c>
      <c r="BB69" s="3">
        <f t="shared" si="60"/>
        <v>0</v>
      </c>
      <c r="BC69" s="3">
        <f t="shared" si="60"/>
        <v>0</v>
      </c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>
        <f>ROUND(SUMIF(AA24:AA67,"=34847864",FQ24:FQ67),2)</f>
        <v>0</v>
      </c>
      <c r="BY69" s="3">
        <f>ROUND(SUMIF(AA24:AA67,"=34847864",FR24:FR67),2)</f>
        <v>0</v>
      </c>
      <c r="BZ69" s="3">
        <f>ROUND(SUMIF(AA24:AA67,"=34847864",GL24:GL67),2)</f>
        <v>0</v>
      </c>
      <c r="CA69" s="3">
        <f>ROUND(SUMIF(AA24:AA67,"=34847864",GM24:GM67),2)</f>
        <v>97947.93</v>
      </c>
      <c r="CB69" s="3">
        <f>ROUND(SUMIF(AA24:AA67,"=34847864",GN24:GN67),2)</f>
        <v>97947.93</v>
      </c>
      <c r="CC69" s="3">
        <f>ROUND(SUMIF(AA24:AA67,"=34847864",GO24:GO67),2)</f>
        <v>0</v>
      </c>
      <c r="CD69" s="3">
        <f>ROUND(SUMIF(AA24:AA67,"=34847864",GP24:GP67),2)</f>
        <v>0</v>
      </c>
      <c r="CE69" s="3">
        <f>AC69-BX69</f>
        <v>75017.14</v>
      </c>
      <c r="CF69" s="3">
        <f>AC69-BY69</f>
        <v>75017.14</v>
      </c>
      <c r="CG69" s="3">
        <f>BX69-BZ69</f>
        <v>0</v>
      </c>
      <c r="CH69" s="3">
        <f>AC69-BX69-BY69+BZ69</f>
        <v>75017.14</v>
      </c>
      <c r="CI69" s="3">
        <f>BY69-BZ69</f>
        <v>0</v>
      </c>
      <c r="CJ69" s="3">
        <f>ROUND(SUMIF(AA24:AA67,"=34847864",GX24:GX67),2)</f>
        <v>0</v>
      </c>
      <c r="CK69" s="3">
        <f>ROUND(SUMIF(AA24:AA67,"=34847864",GY24:GY67),2)</f>
        <v>0</v>
      </c>
      <c r="CL69" s="3">
        <f>ROUND(SUMIF(AA24:AA67,"=34847864",GZ24:GZ67),2)</f>
        <v>0</v>
      </c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4">
        <f t="shared" ref="DG69:DL69" si="61">ROUND(DT69,2)</f>
        <v>1013403.53</v>
      </c>
      <c r="DH69" s="4">
        <f t="shared" si="61"/>
        <v>886858.56</v>
      </c>
      <c r="DI69" s="4">
        <f t="shared" si="61"/>
        <v>54776.78</v>
      </c>
      <c r="DJ69" s="4">
        <f t="shared" si="61"/>
        <v>8993.48</v>
      </c>
      <c r="DK69" s="4">
        <f t="shared" si="61"/>
        <v>71768.19</v>
      </c>
      <c r="DL69" s="4">
        <f t="shared" si="61"/>
        <v>0</v>
      </c>
      <c r="DM69" s="4">
        <f>DZ69</f>
        <v>656.96214963999989</v>
      </c>
      <c r="DN69" s="4">
        <f>EA69</f>
        <v>45.324802749999996</v>
      </c>
      <c r="DO69" s="4">
        <f>ROUND(EB69,2)</f>
        <v>0</v>
      </c>
      <c r="DP69" s="4">
        <f>ROUND(EC69,2)</f>
        <v>86240.98</v>
      </c>
      <c r="DQ69" s="4">
        <f>ROUND(ED69,2)</f>
        <v>47121.599999999999</v>
      </c>
      <c r="DR69" s="4"/>
      <c r="DS69" s="4"/>
      <c r="DT69" s="4">
        <f>ROUND(SUMIF(AA24:AA67,"=34847877",O24:O67),2)</f>
        <v>1013403.53</v>
      </c>
      <c r="DU69" s="4">
        <f>ROUND(SUMIF(AA24:AA67,"=34847877",P24:P67),2)</f>
        <v>886858.56</v>
      </c>
      <c r="DV69" s="4">
        <f>ROUND(SUMIF(AA24:AA67,"=34847877",Q24:Q67),2)</f>
        <v>54776.78</v>
      </c>
      <c r="DW69" s="4">
        <f>ROUND(SUMIF(AA24:AA67,"=34847877",R24:R67),2)</f>
        <v>8993.48</v>
      </c>
      <c r="DX69" s="4">
        <f>ROUND(SUMIF(AA24:AA67,"=34847877",S24:S67),2)</f>
        <v>71768.19</v>
      </c>
      <c r="DY69" s="4">
        <f>ROUND(SUMIF(AA24:AA67,"=34847877",T24:T67),2)</f>
        <v>0</v>
      </c>
      <c r="DZ69" s="4">
        <f>SUMIF(AA24:AA67,"=34847877",U24:U67)</f>
        <v>656.96214963999989</v>
      </c>
      <c r="EA69" s="4">
        <f>SUMIF(AA24:AA67,"=34847877",V24:V67)</f>
        <v>45.324802749999996</v>
      </c>
      <c r="EB69" s="4">
        <f>ROUND(SUMIF(AA24:AA67,"=34847877",W24:W67),2)</f>
        <v>0</v>
      </c>
      <c r="EC69" s="4">
        <f>ROUND(SUMIF(AA24:AA67,"=34847877",X24:X67),2)</f>
        <v>86240.98</v>
      </c>
      <c r="ED69" s="4">
        <f>ROUND(SUMIF(AA24:AA67,"=34847877",Y24:Y67),2)</f>
        <v>47121.599999999999</v>
      </c>
      <c r="EE69" s="4"/>
      <c r="EF69" s="4"/>
      <c r="EG69" s="4">
        <f t="shared" ref="EG69:EU69" si="62">ROUND(FP69,2)</f>
        <v>0</v>
      </c>
      <c r="EH69" s="4">
        <f t="shared" si="62"/>
        <v>0</v>
      </c>
      <c r="EI69" s="4">
        <f t="shared" si="62"/>
        <v>0</v>
      </c>
      <c r="EJ69" s="4">
        <f t="shared" si="62"/>
        <v>1146766.1100000001</v>
      </c>
      <c r="EK69" s="4">
        <f t="shared" si="62"/>
        <v>1146766.1100000001</v>
      </c>
      <c r="EL69" s="4">
        <f t="shared" si="62"/>
        <v>0</v>
      </c>
      <c r="EM69" s="4">
        <f t="shared" si="62"/>
        <v>0</v>
      </c>
      <c r="EN69" s="4">
        <f t="shared" si="62"/>
        <v>886858.56</v>
      </c>
      <c r="EO69" s="4">
        <f t="shared" si="62"/>
        <v>886858.56</v>
      </c>
      <c r="EP69" s="4">
        <f t="shared" si="62"/>
        <v>0</v>
      </c>
      <c r="EQ69" s="4">
        <f t="shared" si="62"/>
        <v>886858.56</v>
      </c>
      <c r="ER69" s="4">
        <f t="shared" si="62"/>
        <v>0</v>
      </c>
      <c r="ES69" s="4">
        <f t="shared" si="62"/>
        <v>0</v>
      </c>
      <c r="ET69" s="4">
        <f t="shared" si="62"/>
        <v>0</v>
      </c>
      <c r="EU69" s="4">
        <f t="shared" si="62"/>
        <v>0</v>
      </c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>
        <f>ROUND(SUMIF(AA24:AA67,"=34847877",FQ24:FQ67),2)</f>
        <v>0</v>
      </c>
      <c r="FQ69" s="4">
        <f>ROUND(SUMIF(AA24:AA67,"=34847877",FR24:FR67),2)</f>
        <v>0</v>
      </c>
      <c r="FR69" s="4">
        <f>ROUND(SUMIF(AA24:AA67,"=34847877",GL24:GL67),2)</f>
        <v>0</v>
      </c>
      <c r="FS69" s="4">
        <f>ROUND(SUMIF(AA24:AA67,"=34847877",GM24:GM67),2)</f>
        <v>1146766.1100000001</v>
      </c>
      <c r="FT69" s="4">
        <f>ROUND(SUMIF(AA24:AA67,"=34847877",GN24:GN67),2)</f>
        <v>1146766.1100000001</v>
      </c>
      <c r="FU69" s="4">
        <f>ROUND(SUMIF(AA24:AA67,"=34847877",GO24:GO67),2)</f>
        <v>0</v>
      </c>
      <c r="FV69" s="4">
        <f>ROUND(SUMIF(AA24:AA67,"=34847877",GP24:GP67),2)</f>
        <v>0</v>
      </c>
      <c r="FW69" s="4">
        <f>DU69-FP69</f>
        <v>886858.56</v>
      </c>
      <c r="FX69" s="4">
        <f>DU69-FQ69</f>
        <v>886858.56</v>
      </c>
      <c r="FY69" s="4">
        <f>FP69-FR69</f>
        <v>0</v>
      </c>
      <c r="FZ69" s="4">
        <f>DU69-FP69-FQ69+FR69</f>
        <v>886858.56</v>
      </c>
      <c r="GA69" s="4">
        <f>FQ69-FR69</f>
        <v>0</v>
      </c>
      <c r="GB69" s="4">
        <f>ROUND(SUMIF(AA24:AA67,"=34847877",GX24:GX67),2)</f>
        <v>0</v>
      </c>
      <c r="GC69" s="4">
        <f>ROUND(SUMIF(AA24:AA67,"=34847877",GY24:GY67),2)</f>
        <v>0</v>
      </c>
      <c r="GD69" s="4">
        <f>ROUND(SUMIF(AA24:AA67,"=34847877",GZ24:GZ67),2)</f>
        <v>0</v>
      </c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>
        <v>0</v>
      </c>
    </row>
    <row r="71" spans="1:255">
      <c r="A71" s="5">
        <v>50</v>
      </c>
      <c r="B71" s="5">
        <v>0</v>
      </c>
      <c r="C71" s="5">
        <v>0</v>
      </c>
      <c r="D71" s="5">
        <v>1</v>
      </c>
      <c r="E71" s="5">
        <v>0</v>
      </c>
      <c r="F71" s="5">
        <f>ROUND(Source!O69,O71)</f>
        <v>88203.35</v>
      </c>
      <c r="G71" s="5" t="s">
        <v>139</v>
      </c>
      <c r="H71" s="5" t="s">
        <v>140</v>
      </c>
      <c r="I71" s="5"/>
      <c r="J71" s="5"/>
      <c r="K71" s="5">
        <v>201</v>
      </c>
      <c r="L71" s="5">
        <v>1</v>
      </c>
      <c r="M71" s="5">
        <v>3</v>
      </c>
      <c r="N71" s="5" t="s">
        <v>3</v>
      </c>
      <c r="O71" s="5">
        <v>2</v>
      </c>
      <c r="P71" s="5">
        <f>ROUND(Source!DG69,O71)</f>
        <v>1013403.53</v>
      </c>
      <c r="Q71" s="5"/>
      <c r="R71" s="5"/>
      <c r="S71" s="5"/>
      <c r="T71" s="5"/>
      <c r="U71" s="5"/>
      <c r="V71" s="5"/>
      <c r="W71" s="5"/>
    </row>
    <row r="72" spans="1:255">
      <c r="A72" s="5">
        <v>50</v>
      </c>
      <c r="B72" s="5">
        <v>0</v>
      </c>
      <c r="C72" s="5">
        <v>0</v>
      </c>
      <c r="D72" s="5">
        <v>1</v>
      </c>
      <c r="E72" s="5">
        <v>202</v>
      </c>
      <c r="F72" s="5">
        <f>ROUND(Source!P69,O72)</f>
        <v>75017.14</v>
      </c>
      <c r="G72" s="5" t="s">
        <v>141</v>
      </c>
      <c r="H72" s="5" t="s">
        <v>142</v>
      </c>
      <c r="I72" s="5"/>
      <c r="J72" s="5"/>
      <c r="K72" s="5">
        <v>202</v>
      </c>
      <c r="L72" s="5">
        <v>2</v>
      </c>
      <c r="M72" s="5">
        <v>3</v>
      </c>
      <c r="N72" s="5" t="s">
        <v>3</v>
      </c>
      <c r="O72" s="5">
        <v>2</v>
      </c>
      <c r="P72" s="5">
        <f>ROUND(Source!DH69,O72)</f>
        <v>886858.56</v>
      </c>
      <c r="Q72" s="5"/>
      <c r="R72" s="5"/>
      <c r="S72" s="5"/>
      <c r="T72" s="5"/>
      <c r="U72" s="5"/>
      <c r="V72" s="5"/>
      <c r="W72" s="5"/>
    </row>
    <row r="73" spans="1:255">
      <c r="A73" s="5">
        <v>50</v>
      </c>
      <c r="B73" s="5">
        <v>0</v>
      </c>
      <c r="C73" s="5">
        <v>0</v>
      </c>
      <c r="D73" s="5">
        <v>1</v>
      </c>
      <c r="E73" s="5">
        <v>222</v>
      </c>
      <c r="F73" s="5">
        <f>ROUND(Source!AO69,O73)</f>
        <v>0</v>
      </c>
      <c r="G73" s="5" t="s">
        <v>143</v>
      </c>
      <c r="H73" s="5" t="s">
        <v>144</v>
      </c>
      <c r="I73" s="5"/>
      <c r="J73" s="5"/>
      <c r="K73" s="5">
        <v>222</v>
      </c>
      <c r="L73" s="5">
        <v>3</v>
      </c>
      <c r="M73" s="5">
        <v>3</v>
      </c>
      <c r="N73" s="5" t="s">
        <v>3</v>
      </c>
      <c r="O73" s="5">
        <v>2</v>
      </c>
      <c r="P73" s="5">
        <f>ROUND(Source!EG69,O73)</f>
        <v>0</v>
      </c>
      <c r="Q73" s="5"/>
      <c r="R73" s="5"/>
      <c r="S73" s="5"/>
      <c r="T73" s="5"/>
      <c r="U73" s="5"/>
      <c r="V73" s="5"/>
      <c r="W73" s="5"/>
    </row>
    <row r="74" spans="1:255">
      <c r="A74" s="5">
        <v>50</v>
      </c>
      <c r="B74" s="5">
        <v>0</v>
      </c>
      <c r="C74" s="5">
        <v>0</v>
      </c>
      <c r="D74" s="5">
        <v>1</v>
      </c>
      <c r="E74" s="5">
        <v>225</v>
      </c>
      <c r="F74" s="5">
        <f>ROUND(Source!AV69,O74)</f>
        <v>75017.14</v>
      </c>
      <c r="G74" s="5" t="s">
        <v>145</v>
      </c>
      <c r="H74" s="5" t="s">
        <v>146</v>
      </c>
      <c r="I74" s="5"/>
      <c r="J74" s="5"/>
      <c r="K74" s="5">
        <v>225</v>
      </c>
      <c r="L74" s="5">
        <v>4</v>
      </c>
      <c r="M74" s="5">
        <v>3</v>
      </c>
      <c r="N74" s="5" t="s">
        <v>3</v>
      </c>
      <c r="O74" s="5">
        <v>2</v>
      </c>
      <c r="P74" s="5">
        <f>ROUND(Source!EN69,O74)</f>
        <v>886858.56</v>
      </c>
      <c r="Q74" s="5"/>
      <c r="R74" s="5"/>
      <c r="S74" s="5"/>
      <c r="T74" s="5"/>
      <c r="U74" s="5"/>
      <c r="V74" s="5"/>
      <c r="W74" s="5"/>
    </row>
    <row r="75" spans="1:255">
      <c r="A75" s="5">
        <v>50</v>
      </c>
      <c r="B75" s="5">
        <v>0</v>
      </c>
      <c r="C75" s="5">
        <v>0</v>
      </c>
      <c r="D75" s="5">
        <v>1</v>
      </c>
      <c r="E75" s="5">
        <v>226</v>
      </c>
      <c r="F75" s="5">
        <f>ROUND(Source!AW69,O75)</f>
        <v>75017.14</v>
      </c>
      <c r="G75" s="5" t="s">
        <v>147</v>
      </c>
      <c r="H75" s="5" t="s">
        <v>148</v>
      </c>
      <c r="I75" s="5"/>
      <c r="J75" s="5"/>
      <c r="K75" s="5">
        <v>226</v>
      </c>
      <c r="L75" s="5">
        <v>5</v>
      </c>
      <c r="M75" s="5">
        <v>3</v>
      </c>
      <c r="N75" s="5" t="s">
        <v>3</v>
      </c>
      <c r="O75" s="5">
        <v>2</v>
      </c>
      <c r="P75" s="5">
        <f>ROUND(Source!EO69,O75)</f>
        <v>886858.56</v>
      </c>
      <c r="Q75" s="5"/>
      <c r="R75" s="5"/>
      <c r="S75" s="5"/>
      <c r="T75" s="5"/>
      <c r="U75" s="5"/>
      <c r="V75" s="5"/>
      <c r="W75" s="5"/>
    </row>
    <row r="76" spans="1:255">
      <c r="A76" s="5">
        <v>50</v>
      </c>
      <c r="B76" s="5">
        <v>0</v>
      </c>
      <c r="C76" s="5">
        <v>0</v>
      </c>
      <c r="D76" s="5">
        <v>1</v>
      </c>
      <c r="E76" s="5">
        <v>227</v>
      </c>
      <c r="F76" s="5">
        <f>ROUND(Source!AX69,O76)</f>
        <v>0</v>
      </c>
      <c r="G76" s="5" t="s">
        <v>149</v>
      </c>
      <c r="H76" s="5" t="s">
        <v>150</v>
      </c>
      <c r="I76" s="5"/>
      <c r="J76" s="5"/>
      <c r="K76" s="5">
        <v>227</v>
      </c>
      <c r="L76" s="5">
        <v>6</v>
      </c>
      <c r="M76" s="5">
        <v>3</v>
      </c>
      <c r="N76" s="5" t="s">
        <v>3</v>
      </c>
      <c r="O76" s="5">
        <v>2</v>
      </c>
      <c r="P76" s="5">
        <f>ROUND(Source!EP69,O76)</f>
        <v>0</v>
      </c>
      <c r="Q76" s="5"/>
      <c r="R76" s="5"/>
      <c r="S76" s="5"/>
      <c r="T76" s="5"/>
      <c r="U76" s="5"/>
      <c r="V76" s="5"/>
      <c r="W76" s="5"/>
    </row>
    <row r="77" spans="1:255">
      <c r="A77" s="5">
        <v>50</v>
      </c>
      <c r="B77" s="5">
        <v>0</v>
      </c>
      <c r="C77" s="5">
        <v>0</v>
      </c>
      <c r="D77" s="5">
        <v>1</v>
      </c>
      <c r="E77" s="5">
        <v>228</v>
      </c>
      <c r="F77" s="5">
        <f>ROUND(Source!AY69,O77)</f>
        <v>75017.14</v>
      </c>
      <c r="G77" s="5" t="s">
        <v>151</v>
      </c>
      <c r="H77" s="5" t="s">
        <v>152</v>
      </c>
      <c r="I77" s="5"/>
      <c r="J77" s="5"/>
      <c r="K77" s="5">
        <v>228</v>
      </c>
      <c r="L77" s="5">
        <v>7</v>
      </c>
      <c r="M77" s="5">
        <v>3</v>
      </c>
      <c r="N77" s="5" t="s">
        <v>3</v>
      </c>
      <c r="O77" s="5">
        <v>2</v>
      </c>
      <c r="P77" s="5">
        <f>ROUND(Source!EQ69,O77)</f>
        <v>886858.56</v>
      </c>
      <c r="Q77" s="5"/>
      <c r="R77" s="5"/>
      <c r="S77" s="5"/>
      <c r="T77" s="5"/>
      <c r="U77" s="5"/>
      <c r="V77" s="5"/>
      <c r="W77" s="5"/>
    </row>
    <row r="78" spans="1:255">
      <c r="A78" s="5">
        <v>50</v>
      </c>
      <c r="B78" s="5">
        <v>0</v>
      </c>
      <c r="C78" s="5">
        <v>0</v>
      </c>
      <c r="D78" s="5">
        <v>1</v>
      </c>
      <c r="E78" s="5">
        <v>216</v>
      </c>
      <c r="F78" s="5">
        <f>ROUND(Source!AP69,O78)</f>
        <v>0</v>
      </c>
      <c r="G78" s="5" t="s">
        <v>153</v>
      </c>
      <c r="H78" s="5" t="s">
        <v>154</v>
      </c>
      <c r="I78" s="5"/>
      <c r="J78" s="5"/>
      <c r="K78" s="5">
        <v>216</v>
      </c>
      <c r="L78" s="5">
        <v>8</v>
      </c>
      <c r="M78" s="5">
        <v>3</v>
      </c>
      <c r="N78" s="5" t="s">
        <v>3</v>
      </c>
      <c r="O78" s="5">
        <v>2</v>
      </c>
      <c r="P78" s="5">
        <f>ROUND(Source!EH69,O78)</f>
        <v>0</v>
      </c>
      <c r="Q78" s="5"/>
      <c r="R78" s="5"/>
      <c r="S78" s="5"/>
      <c r="T78" s="5"/>
      <c r="U78" s="5"/>
      <c r="V78" s="5"/>
      <c r="W78" s="5"/>
    </row>
    <row r="79" spans="1:255">
      <c r="A79" s="5">
        <v>50</v>
      </c>
      <c r="B79" s="5">
        <v>0</v>
      </c>
      <c r="C79" s="5">
        <v>0</v>
      </c>
      <c r="D79" s="5">
        <v>1</v>
      </c>
      <c r="E79" s="5">
        <v>223</v>
      </c>
      <c r="F79" s="5">
        <f>ROUND(Source!AQ69,O79)</f>
        <v>0</v>
      </c>
      <c r="G79" s="5" t="s">
        <v>155</v>
      </c>
      <c r="H79" s="5" t="s">
        <v>156</v>
      </c>
      <c r="I79" s="5"/>
      <c r="J79" s="5"/>
      <c r="K79" s="5">
        <v>223</v>
      </c>
      <c r="L79" s="5">
        <v>9</v>
      </c>
      <c r="M79" s="5">
        <v>3</v>
      </c>
      <c r="N79" s="5" t="s">
        <v>3</v>
      </c>
      <c r="O79" s="5">
        <v>2</v>
      </c>
      <c r="P79" s="5">
        <f>ROUND(Source!EI69,O79)</f>
        <v>0</v>
      </c>
      <c r="Q79" s="5"/>
      <c r="R79" s="5"/>
      <c r="S79" s="5"/>
      <c r="T79" s="5"/>
      <c r="U79" s="5"/>
      <c r="V79" s="5"/>
      <c r="W79" s="5"/>
    </row>
    <row r="80" spans="1:255">
      <c r="A80" s="5">
        <v>50</v>
      </c>
      <c r="B80" s="5">
        <v>0</v>
      </c>
      <c r="C80" s="5">
        <v>0</v>
      </c>
      <c r="D80" s="5">
        <v>1</v>
      </c>
      <c r="E80" s="5">
        <v>229</v>
      </c>
      <c r="F80" s="5">
        <f>ROUND(Source!AZ69,O80)</f>
        <v>0</v>
      </c>
      <c r="G80" s="5" t="s">
        <v>157</v>
      </c>
      <c r="H80" s="5" t="s">
        <v>158</v>
      </c>
      <c r="I80" s="5"/>
      <c r="J80" s="5"/>
      <c r="K80" s="5">
        <v>229</v>
      </c>
      <c r="L80" s="5">
        <v>10</v>
      </c>
      <c r="M80" s="5">
        <v>3</v>
      </c>
      <c r="N80" s="5" t="s">
        <v>3</v>
      </c>
      <c r="O80" s="5">
        <v>2</v>
      </c>
      <c r="P80" s="5">
        <f>ROUND(Source!ER69,O80)</f>
        <v>0</v>
      </c>
      <c r="Q80" s="5"/>
      <c r="R80" s="5"/>
      <c r="S80" s="5"/>
      <c r="T80" s="5"/>
      <c r="U80" s="5"/>
      <c r="V80" s="5"/>
      <c r="W80" s="5"/>
    </row>
    <row r="81" spans="1:23">
      <c r="A81" s="5">
        <v>50</v>
      </c>
      <c r="B81" s="5">
        <v>0</v>
      </c>
      <c r="C81" s="5">
        <v>0</v>
      </c>
      <c r="D81" s="5">
        <v>1</v>
      </c>
      <c r="E81" s="5">
        <v>203</v>
      </c>
      <c r="F81" s="5">
        <f>ROUND(Source!Q69,O81)</f>
        <v>8820.74</v>
      </c>
      <c r="G81" s="5" t="s">
        <v>159</v>
      </c>
      <c r="H81" s="5" t="s">
        <v>160</v>
      </c>
      <c r="I81" s="5"/>
      <c r="J81" s="5"/>
      <c r="K81" s="5">
        <v>203</v>
      </c>
      <c r="L81" s="5">
        <v>11</v>
      </c>
      <c r="M81" s="5">
        <v>3</v>
      </c>
      <c r="N81" s="5" t="s">
        <v>3</v>
      </c>
      <c r="O81" s="5">
        <v>2</v>
      </c>
      <c r="P81" s="5">
        <f>ROUND(Source!DI69,O81)</f>
        <v>54776.78</v>
      </c>
      <c r="Q81" s="5"/>
      <c r="R81" s="5"/>
      <c r="S81" s="5"/>
      <c r="T81" s="5"/>
      <c r="U81" s="5"/>
      <c r="V81" s="5"/>
      <c r="W81" s="5"/>
    </row>
    <row r="82" spans="1:23">
      <c r="A82" s="5">
        <v>50</v>
      </c>
      <c r="B82" s="5">
        <v>0</v>
      </c>
      <c r="C82" s="5">
        <v>0</v>
      </c>
      <c r="D82" s="5">
        <v>1</v>
      </c>
      <c r="E82" s="5">
        <v>231</v>
      </c>
      <c r="F82" s="5">
        <f>ROUND(Source!BB69,O82)</f>
        <v>0</v>
      </c>
      <c r="G82" s="5" t="s">
        <v>161</v>
      </c>
      <c r="H82" s="5" t="s">
        <v>162</v>
      </c>
      <c r="I82" s="5"/>
      <c r="J82" s="5"/>
      <c r="K82" s="5">
        <v>231</v>
      </c>
      <c r="L82" s="5">
        <v>12</v>
      </c>
      <c r="M82" s="5">
        <v>3</v>
      </c>
      <c r="N82" s="5" t="s">
        <v>3</v>
      </c>
      <c r="O82" s="5">
        <v>2</v>
      </c>
      <c r="P82" s="5">
        <f>ROUND(Source!ET69,O82)</f>
        <v>0</v>
      </c>
      <c r="Q82" s="5"/>
      <c r="R82" s="5"/>
      <c r="S82" s="5"/>
      <c r="T82" s="5"/>
      <c r="U82" s="5"/>
      <c r="V82" s="5"/>
      <c r="W82" s="5"/>
    </row>
    <row r="83" spans="1:23">
      <c r="A83" s="5">
        <v>50</v>
      </c>
      <c r="B83" s="5">
        <v>0</v>
      </c>
      <c r="C83" s="5">
        <v>0</v>
      </c>
      <c r="D83" s="5">
        <v>1</v>
      </c>
      <c r="E83" s="5">
        <v>204</v>
      </c>
      <c r="F83" s="5">
        <f>ROUND(Source!R69,O83)</f>
        <v>547.05999999999995</v>
      </c>
      <c r="G83" s="5" t="s">
        <v>163</v>
      </c>
      <c r="H83" s="5" t="s">
        <v>164</v>
      </c>
      <c r="I83" s="5"/>
      <c r="J83" s="5"/>
      <c r="K83" s="5">
        <v>204</v>
      </c>
      <c r="L83" s="5">
        <v>13</v>
      </c>
      <c r="M83" s="5">
        <v>3</v>
      </c>
      <c r="N83" s="5" t="s">
        <v>3</v>
      </c>
      <c r="O83" s="5">
        <v>2</v>
      </c>
      <c r="P83" s="5">
        <f>ROUND(Source!DJ69,O83)</f>
        <v>8993.48</v>
      </c>
      <c r="Q83" s="5"/>
      <c r="R83" s="5"/>
      <c r="S83" s="5"/>
      <c r="T83" s="5"/>
      <c r="U83" s="5"/>
      <c r="V83" s="5"/>
      <c r="W83" s="5"/>
    </row>
    <row r="84" spans="1:23">
      <c r="A84" s="5">
        <v>50</v>
      </c>
      <c r="B84" s="5">
        <v>0</v>
      </c>
      <c r="C84" s="5">
        <v>0</v>
      </c>
      <c r="D84" s="5">
        <v>1</v>
      </c>
      <c r="E84" s="5">
        <v>205</v>
      </c>
      <c r="F84" s="5">
        <f>ROUND(Source!S69,O84)</f>
        <v>4365.47</v>
      </c>
      <c r="G84" s="5" t="s">
        <v>165</v>
      </c>
      <c r="H84" s="5" t="s">
        <v>166</v>
      </c>
      <c r="I84" s="5"/>
      <c r="J84" s="5"/>
      <c r="K84" s="5">
        <v>205</v>
      </c>
      <c r="L84" s="5">
        <v>14</v>
      </c>
      <c r="M84" s="5">
        <v>3</v>
      </c>
      <c r="N84" s="5" t="s">
        <v>3</v>
      </c>
      <c r="O84" s="5">
        <v>2</v>
      </c>
      <c r="P84" s="5">
        <f>ROUND(Source!DK69,O84)</f>
        <v>71768.19</v>
      </c>
      <c r="Q84" s="5"/>
      <c r="R84" s="5"/>
      <c r="S84" s="5"/>
      <c r="T84" s="5"/>
      <c r="U84" s="5"/>
      <c r="V84" s="5"/>
      <c r="W84" s="5"/>
    </row>
    <row r="85" spans="1:23">
      <c r="A85" s="5">
        <v>50</v>
      </c>
      <c r="B85" s="5">
        <v>0</v>
      </c>
      <c r="C85" s="5">
        <v>0</v>
      </c>
      <c r="D85" s="5">
        <v>1</v>
      </c>
      <c r="E85" s="5">
        <v>232</v>
      </c>
      <c r="F85" s="5">
        <f>ROUND(Source!BC69,O85)</f>
        <v>0</v>
      </c>
      <c r="G85" s="5" t="s">
        <v>167</v>
      </c>
      <c r="H85" s="5" t="s">
        <v>168</v>
      </c>
      <c r="I85" s="5"/>
      <c r="J85" s="5"/>
      <c r="K85" s="5">
        <v>232</v>
      </c>
      <c r="L85" s="5">
        <v>15</v>
      </c>
      <c r="M85" s="5">
        <v>3</v>
      </c>
      <c r="N85" s="5" t="s">
        <v>3</v>
      </c>
      <c r="O85" s="5">
        <v>2</v>
      </c>
      <c r="P85" s="5">
        <f>ROUND(Source!EU69,O85)</f>
        <v>0</v>
      </c>
      <c r="Q85" s="5"/>
      <c r="R85" s="5"/>
      <c r="S85" s="5"/>
      <c r="T85" s="5"/>
      <c r="U85" s="5"/>
      <c r="V85" s="5"/>
      <c r="W85" s="5"/>
    </row>
    <row r="86" spans="1:23">
      <c r="A86" s="5">
        <v>50</v>
      </c>
      <c r="B86" s="5">
        <v>0</v>
      </c>
      <c r="C86" s="5">
        <v>0</v>
      </c>
      <c r="D86" s="5">
        <v>1</v>
      </c>
      <c r="E86" s="5">
        <v>214</v>
      </c>
      <c r="F86" s="5">
        <f>ROUND(Source!AS69,O86)</f>
        <v>97947.93</v>
      </c>
      <c r="G86" s="5" t="s">
        <v>169</v>
      </c>
      <c r="H86" s="5" t="s">
        <v>170</v>
      </c>
      <c r="I86" s="5"/>
      <c r="J86" s="5"/>
      <c r="K86" s="5">
        <v>214</v>
      </c>
      <c r="L86" s="5">
        <v>16</v>
      </c>
      <c r="M86" s="5">
        <v>3</v>
      </c>
      <c r="N86" s="5" t="s">
        <v>3</v>
      </c>
      <c r="O86" s="5">
        <v>2</v>
      </c>
      <c r="P86" s="5">
        <f>ROUND(Source!EK69,O86)</f>
        <v>1146766.1100000001</v>
      </c>
      <c r="Q86" s="5"/>
      <c r="R86" s="5"/>
      <c r="S86" s="5"/>
      <c r="T86" s="5"/>
      <c r="U86" s="5"/>
      <c r="V86" s="5"/>
      <c r="W86" s="5"/>
    </row>
    <row r="87" spans="1:23">
      <c r="A87" s="5">
        <v>50</v>
      </c>
      <c r="B87" s="5">
        <v>0</v>
      </c>
      <c r="C87" s="5">
        <v>0</v>
      </c>
      <c r="D87" s="5">
        <v>1</v>
      </c>
      <c r="E87" s="5">
        <v>215</v>
      </c>
      <c r="F87" s="5">
        <f>ROUND(Source!AT69,O87)</f>
        <v>0</v>
      </c>
      <c r="G87" s="5" t="s">
        <v>171</v>
      </c>
      <c r="H87" s="5" t="s">
        <v>172</v>
      </c>
      <c r="I87" s="5"/>
      <c r="J87" s="5"/>
      <c r="K87" s="5">
        <v>215</v>
      </c>
      <c r="L87" s="5">
        <v>17</v>
      </c>
      <c r="M87" s="5">
        <v>3</v>
      </c>
      <c r="N87" s="5" t="s">
        <v>3</v>
      </c>
      <c r="O87" s="5">
        <v>2</v>
      </c>
      <c r="P87" s="5">
        <f>ROUND(Source!EL69,O87)</f>
        <v>0</v>
      </c>
      <c r="Q87" s="5"/>
      <c r="R87" s="5"/>
      <c r="S87" s="5"/>
      <c r="T87" s="5"/>
      <c r="U87" s="5"/>
      <c r="V87" s="5"/>
      <c r="W87" s="5"/>
    </row>
    <row r="88" spans="1:23">
      <c r="A88" s="5">
        <v>50</v>
      </c>
      <c r="B88" s="5">
        <v>0</v>
      </c>
      <c r="C88" s="5">
        <v>0</v>
      </c>
      <c r="D88" s="5">
        <v>1</v>
      </c>
      <c r="E88" s="5">
        <v>217</v>
      </c>
      <c r="F88" s="5">
        <f>ROUND(Source!AU69,O88)</f>
        <v>0</v>
      </c>
      <c r="G88" s="5" t="s">
        <v>173</v>
      </c>
      <c r="H88" s="5" t="s">
        <v>174</v>
      </c>
      <c r="I88" s="5"/>
      <c r="J88" s="5"/>
      <c r="K88" s="5">
        <v>217</v>
      </c>
      <c r="L88" s="5">
        <v>18</v>
      </c>
      <c r="M88" s="5">
        <v>3</v>
      </c>
      <c r="N88" s="5" t="s">
        <v>3</v>
      </c>
      <c r="O88" s="5">
        <v>2</v>
      </c>
      <c r="P88" s="5">
        <f>ROUND(Source!EM69,O88)</f>
        <v>0</v>
      </c>
      <c r="Q88" s="5"/>
      <c r="R88" s="5"/>
      <c r="S88" s="5"/>
      <c r="T88" s="5"/>
      <c r="U88" s="5"/>
      <c r="V88" s="5"/>
      <c r="W88" s="5"/>
    </row>
    <row r="89" spans="1:23">
      <c r="A89" s="5">
        <v>50</v>
      </c>
      <c r="B89" s="5">
        <v>0</v>
      </c>
      <c r="C89" s="5">
        <v>0</v>
      </c>
      <c r="D89" s="5">
        <v>1</v>
      </c>
      <c r="E89" s="5">
        <v>230</v>
      </c>
      <c r="F89" s="5">
        <f>ROUND(Source!BA69,O89)</f>
        <v>0</v>
      </c>
      <c r="G89" s="5" t="s">
        <v>175</v>
      </c>
      <c r="H89" s="5" t="s">
        <v>176</v>
      </c>
      <c r="I89" s="5"/>
      <c r="J89" s="5"/>
      <c r="K89" s="5">
        <v>230</v>
      </c>
      <c r="L89" s="5">
        <v>19</v>
      </c>
      <c r="M89" s="5">
        <v>3</v>
      </c>
      <c r="N89" s="5" t="s">
        <v>3</v>
      </c>
      <c r="O89" s="5">
        <v>2</v>
      </c>
      <c r="P89" s="5">
        <f>ROUND(Source!ES69,O89)</f>
        <v>0</v>
      </c>
      <c r="Q89" s="5"/>
      <c r="R89" s="5"/>
      <c r="S89" s="5"/>
      <c r="T89" s="5"/>
      <c r="U89" s="5"/>
      <c r="V89" s="5"/>
      <c r="W89" s="5"/>
    </row>
    <row r="90" spans="1:23">
      <c r="A90" s="5">
        <v>50</v>
      </c>
      <c r="B90" s="5">
        <v>0</v>
      </c>
      <c r="C90" s="5">
        <v>0</v>
      </c>
      <c r="D90" s="5">
        <v>1</v>
      </c>
      <c r="E90" s="5">
        <v>206</v>
      </c>
      <c r="F90" s="5">
        <f>ROUND(Source!T69,O90)</f>
        <v>0</v>
      </c>
      <c r="G90" s="5" t="s">
        <v>177</v>
      </c>
      <c r="H90" s="5" t="s">
        <v>178</v>
      </c>
      <c r="I90" s="5"/>
      <c r="J90" s="5"/>
      <c r="K90" s="5">
        <v>206</v>
      </c>
      <c r="L90" s="5">
        <v>20</v>
      </c>
      <c r="M90" s="5">
        <v>3</v>
      </c>
      <c r="N90" s="5" t="s">
        <v>3</v>
      </c>
      <c r="O90" s="5">
        <v>2</v>
      </c>
      <c r="P90" s="5">
        <f>ROUND(Source!DL69,O90)</f>
        <v>0</v>
      </c>
      <c r="Q90" s="5"/>
      <c r="R90" s="5"/>
      <c r="S90" s="5"/>
      <c r="T90" s="5"/>
      <c r="U90" s="5"/>
      <c r="V90" s="5"/>
      <c r="W90" s="5"/>
    </row>
    <row r="91" spans="1:23">
      <c r="A91" s="5">
        <v>50</v>
      </c>
      <c r="B91" s="5">
        <v>0</v>
      </c>
      <c r="C91" s="5">
        <v>0</v>
      </c>
      <c r="D91" s="5">
        <v>1</v>
      </c>
      <c r="E91" s="5">
        <v>207</v>
      </c>
      <c r="F91" s="5">
        <f>Source!U69</f>
        <v>656.96214963999989</v>
      </c>
      <c r="G91" s="5" t="s">
        <v>179</v>
      </c>
      <c r="H91" s="5" t="s">
        <v>180</v>
      </c>
      <c r="I91" s="5"/>
      <c r="J91" s="5"/>
      <c r="K91" s="5">
        <v>207</v>
      </c>
      <c r="L91" s="5">
        <v>21</v>
      </c>
      <c r="M91" s="5">
        <v>3</v>
      </c>
      <c r="N91" s="5" t="s">
        <v>3</v>
      </c>
      <c r="O91" s="5">
        <v>-1</v>
      </c>
      <c r="P91" s="5">
        <f>Source!DM69</f>
        <v>656.96214963999989</v>
      </c>
      <c r="Q91" s="5"/>
      <c r="R91" s="5"/>
      <c r="S91" s="5"/>
      <c r="T91" s="5"/>
      <c r="U91" s="5"/>
      <c r="V91" s="5"/>
      <c r="W91" s="5"/>
    </row>
    <row r="92" spans="1:23">
      <c r="A92" s="5">
        <v>50</v>
      </c>
      <c r="B92" s="5">
        <v>0</v>
      </c>
      <c r="C92" s="5">
        <v>0</v>
      </c>
      <c r="D92" s="5">
        <v>1</v>
      </c>
      <c r="E92" s="5">
        <v>208</v>
      </c>
      <c r="F92" s="5">
        <f>Source!V69</f>
        <v>45.324802749999996</v>
      </c>
      <c r="G92" s="5" t="s">
        <v>181</v>
      </c>
      <c r="H92" s="5" t="s">
        <v>182</v>
      </c>
      <c r="I92" s="5"/>
      <c r="J92" s="5"/>
      <c r="K92" s="5">
        <v>208</v>
      </c>
      <c r="L92" s="5">
        <v>22</v>
      </c>
      <c r="M92" s="5">
        <v>3</v>
      </c>
      <c r="N92" s="5" t="s">
        <v>3</v>
      </c>
      <c r="O92" s="5">
        <v>-1</v>
      </c>
      <c r="P92" s="5">
        <f>Source!DN69</f>
        <v>45.324802749999996</v>
      </c>
      <c r="Q92" s="5"/>
      <c r="R92" s="5"/>
      <c r="S92" s="5"/>
      <c r="T92" s="5"/>
      <c r="U92" s="5"/>
      <c r="V92" s="5"/>
      <c r="W92" s="5"/>
    </row>
    <row r="93" spans="1:23">
      <c r="A93" s="5">
        <v>50</v>
      </c>
      <c r="B93" s="5">
        <v>0</v>
      </c>
      <c r="C93" s="5">
        <v>0</v>
      </c>
      <c r="D93" s="5">
        <v>1</v>
      </c>
      <c r="E93" s="5">
        <v>209</v>
      </c>
      <c r="F93" s="5">
        <f>ROUND(Source!W69,O93)</f>
        <v>0</v>
      </c>
      <c r="G93" s="5" t="s">
        <v>183</v>
      </c>
      <c r="H93" s="5" t="s">
        <v>184</v>
      </c>
      <c r="I93" s="5"/>
      <c r="J93" s="5"/>
      <c r="K93" s="5">
        <v>209</v>
      </c>
      <c r="L93" s="5">
        <v>23</v>
      </c>
      <c r="M93" s="5">
        <v>3</v>
      </c>
      <c r="N93" s="5" t="s">
        <v>3</v>
      </c>
      <c r="O93" s="5">
        <v>2</v>
      </c>
      <c r="P93" s="5">
        <f>ROUND(Source!DO69,O93)</f>
        <v>0</v>
      </c>
      <c r="Q93" s="5"/>
      <c r="R93" s="5"/>
      <c r="S93" s="5"/>
      <c r="T93" s="5"/>
      <c r="U93" s="5"/>
      <c r="V93" s="5"/>
      <c r="W93" s="5"/>
    </row>
    <row r="94" spans="1:23">
      <c r="A94" s="5">
        <v>50</v>
      </c>
      <c r="B94" s="5">
        <v>0</v>
      </c>
      <c r="C94" s="5">
        <v>0</v>
      </c>
      <c r="D94" s="5">
        <v>1</v>
      </c>
      <c r="E94" s="5">
        <v>0</v>
      </c>
      <c r="F94" s="5">
        <f>ROUND(Source!X69,O94)</f>
        <v>6164.49</v>
      </c>
      <c r="G94" s="5" t="s">
        <v>185</v>
      </c>
      <c r="H94" s="5" t="s">
        <v>186</v>
      </c>
      <c r="I94" s="5"/>
      <c r="J94" s="5"/>
      <c r="K94" s="5">
        <v>210</v>
      </c>
      <c r="L94" s="5">
        <v>24</v>
      </c>
      <c r="M94" s="5">
        <v>3</v>
      </c>
      <c r="N94" s="5" t="s">
        <v>3</v>
      </c>
      <c r="O94" s="5">
        <v>2</v>
      </c>
      <c r="P94" s="5">
        <f>ROUND(Source!DP69,O94)</f>
        <v>86240.98</v>
      </c>
      <c r="Q94" s="5"/>
      <c r="R94" s="5"/>
      <c r="S94" s="5"/>
      <c r="T94" s="5"/>
      <c r="U94" s="5"/>
      <c r="V94" s="5"/>
      <c r="W94" s="5"/>
    </row>
    <row r="95" spans="1:23">
      <c r="A95" s="5">
        <v>50</v>
      </c>
      <c r="B95" s="5">
        <v>0</v>
      </c>
      <c r="C95" s="5">
        <v>0</v>
      </c>
      <c r="D95" s="5">
        <v>1</v>
      </c>
      <c r="E95" s="5">
        <v>0</v>
      </c>
      <c r="F95" s="5">
        <f>ROUND(Source!Y69,O95)</f>
        <v>3580.09</v>
      </c>
      <c r="G95" s="5" t="s">
        <v>187</v>
      </c>
      <c r="H95" s="5" t="s">
        <v>188</v>
      </c>
      <c r="I95" s="5"/>
      <c r="J95" s="5"/>
      <c r="K95" s="5">
        <v>211</v>
      </c>
      <c r="L95" s="5">
        <v>25</v>
      </c>
      <c r="M95" s="5">
        <v>3</v>
      </c>
      <c r="N95" s="5" t="s">
        <v>3</v>
      </c>
      <c r="O95" s="5">
        <v>2</v>
      </c>
      <c r="P95" s="5">
        <f>ROUND(Source!DQ69,O95)</f>
        <v>47121.599999999999</v>
      </c>
      <c r="Q95" s="5"/>
      <c r="R95" s="5"/>
      <c r="S95" s="5"/>
      <c r="T95" s="5"/>
      <c r="U95" s="5"/>
      <c r="V95" s="5"/>
      <c r="W95" s="5"/>
    </row>
    <row r="96" spans="1:23">
      <c r="A96" s="5">
        <v>50</v>
      </c>
      <c r="B96" s="5">
        <v>0</v>
      </c>
      <c r="C96" s="5">
        <v>0</v>
      </c>
      <c r="D96" s="5">
        <v>1</v>
      </c>
      <c r="E96" s="5">
        <v>224</v>
      </c>
      <c r="F96" s="5">
        <f>ROUND(Source!AR69,O96)</f>
        <v>97947.93</v>
      </c>
      <c r="G96" s="5" t="s">
        <v>189</v>
      </c>
      <c r="H96" s="5" t="s">
        <v>190</v>
      </c>
      <c r="I96" s="5"/>
      <c r="J96" s="5"/>
      <c r="K96" s="5">
        <v>224</v>
      </c>
      <c r="L96" s="5">
        <v>26</v>
      </c>
      <c r="M96" s="5">
        <v>3</v>
      </c>
      <c r="N96" s="5" t="s">
        <v>3</v>
      </c>
      <c r="O96" s="5">
        <v>2</v>
      </c>
      <c r="P96" s="5">
        <f>ROUND(Source!EJ69,O96)</f>
        <v>1146766.1100000001</v>
      </c>
      <c r="Q96" s="5"/>
      <c r="R96" s="5"/>
      <c r="S96" s="5"/>
      <c r="T96" s="5"/>
      <c r="U96" s="5"/>
      <c r="V96" s="5"/>
      <c r="W96" s="5"/>
    </row>
    <row r="97" spans="1:206">
      <c r="A97" s="5">
        <v>50</v>
      </c>
      <c r="B97" s="5">
        <v>1</v>
      </c>
      <c r="C97" s="5">
        <v>0</v>
      </c>
      <c r="D97" s="5">
        <v>2</v>
      </c>
      <c r="E97" s="5">
        <v>201</v>
      </c>
      <c r="F97" s="5">
        <f>ROUND(F71,O97)</f>
        <v>88203.35</v>
      </c>
      <c r="G97" s="5" t="s">
        <v>191</v>
      </c>
      <c r="H97" s="5" t="s">
        <v>192</v>
      </c>
      <c r="I97" s="5"/>
      <c r="J97" s="5"/>
      <c r="K97" s="5">
        <v>212</v>
      </c>
      <c r="L97" s="5">
        <v>27</v>
      </c>
      <c r="M97" s="5">
        <v>0</v>
      </c>
      <c r="N97" s="5" t="s">
        <v>3</v>
      </c>
      <c r="O97" s="5">
        <v>2</v>
      </c>
      <c r="P97" s="5">
        <f>ROUND(P71,O97)</f>
        <v>1013403.53</v>
      </c>
      <c r="Q97" s="5"/>
      <c r="R97" s="5"/>
      <c r="S97" s="5"/>
      <c r="T97" s="5"/>
      <c r="U97" s="5"/>
      <c r="V97" s="5"/>
      <c r="W97" s="5"/>
    </row>
    <row r="98" spans="1:206">
      <c r="A98" s="5">
        <v>50</v>
      </c>
      <c r="B98" s="5">
        <v>1</v>
      </c>
      <c r="C98" s="5">
        <v>0</v>
      </c>
      <c r="D98" s="5">
        <v>2</v>
      </c>
      <c r="E98" s="5">
        <v>210</v>
      </c>
      <c r="F98" s="5">
        <f>ROUND(F94,O98)</f>
        <v>6164.49</v>
      </c>
      <c r="G98" s="5" t="s">
        <v>193</v>
      </c>
      <c r="H98" s="5" t="s">
        <v>186</v>
      </c>
      <c r="I98" s="5"/>
      <c r="J98" s="5"/>
      <c r="K98" s="5">
        <v>212</v>
      </c>
      <c r="L98" s="5">
        <v>28</v>
      </c>
      <c r="M98" s="5">
        <v>0</v>
      </c>
      <c r="N98" s="5" t="s">
        <v>3</v>
      </c>
      <c r="O98" s="5">
        <v>2</v>
      </c>
      <c r="P98" s="5">
        <f>ROUND(P94,O98)</f>
        <v>86240.98</v>
      </c>
      <c r="Q98" s="5"/>
      <c r="R98" s="5"/>
      <c r="S98" s="5"/>
      <c r="T98" s="5"/>
      <c r="U98" s="5"/>
      <c r="V98" s="5"/>
      <c r="W98" s="5"/>
    </row>
    <row r="99" spans="1:206">
      <c r="A99" s="5">
        <v>50</v>
      </c>
      <c r="B99" s="5">
        <v>1</v>
      </c>
      <c r="C99" s="5">
        <v>0</v>
      </c>
      <c r="D99" s="5">
        <v>2</v>
      </c>
      <c r="E99" s="5">
        <v>211</v>
      </c>
      <c r="F99" s="5">
        <f>ROUND(F95,O99)</f>
        <v>3580.09</v>
      </c>
      <c r="G99" s="5" t="s">
        <v>194</v>
      </c>
      <c r="H99" s="5" t="s">
        <v>188</v>
      </c>
      <c r="I99" s="5"/>
      <c r="J99" s="5"/>
      <c r="K99" s="5">
        <v>212</v>
      </c>
      <c r="L99" s="5">
        <v>29</v>
      </c>
      <c r="M99" s="5">
        <v>0</v>
      </c>
      <c r="N99" s="5" t="s">
        <v>3</v>
      </c>
      <c r="O99" s="5">
        <v>2</v>
      </c>
      <c r="P99" s="5">
        <f>ROUND(P95,O99)</f>
        <v>47121.599999999999</v>
      </c>
      <c r="Q99" s="5"/>
      <c r="R99" s="5"/>
      <c r="S99" s="5"/>
      <c r="T99" s="5"/>
      <c r="U99" s="5"/>
      <c r="V99" s="5"/>
      <c r="W99" s="5"/>
    </row>
    <row r="100" spans="1:206">
      <c r="A100" s="5">
        <v>50</v>
      </c>
      <c r="B100" s="5">
        <v>1</v>
      </c>
      <c r="C100" s="5">
        <v>0</v>
      </c>
      <c r="D100" s="5">
        <v>2</v>
      </c>
      <c r="E100" s="5">
        <v>0</v>
      </c>
      <c r="F100" s="5">
        <f>ROUND(F97+F98+F99,O100)</f>
        <v>97947.93</v>
      </c>
      <c r="G100" s="5" t="s">
        <v>195</v>
      </c>
      <c r="H100" s="5" t="s">
        <v>196</v>
      </c>
      <c r="I100" s="5"/>
      <c r="J100" s="5"/>
      <c r="K100" s="5">
        <v>212</v>
      </c>
      <c r="L100" s="5">
        <v>30</v>
      </c>
      <c r="M100" s="5">
        <v>0</v>
      </c>
      <c r="N100" s="5" t="s">
        <v>3</v>
      </c>
      <c r="O100" s="5">
        <v>2</v>
      </c>
      <c r="P100" s="5">
        <f>ROUND(P97+P98+P99,O100)</f>
        <v>1146766.1100000001</v>
      </c>
      <c r="Q100" s="5"/>
      <c r="R100" s="5"/>
      <c r="S100" s="5"/>
      <c r="T100" s="5"/>
      <c r="U100" s="5"/>
      <c r="V100" s="5"/>
      <c r="W100" s="5"/>
    </row>
    <row r="101" spans="1:206">
      <c r="A101" s="5">
        <v>50</v>
      </c>
      <c r="B101" s="5">
        <v>1</v>
      </c>
      <c r="C101" s="5">
        <v>0</v>
      </c>
      <c r="D101" s="5">
        <v>2</v>
      </c>
      <c r="E101" s="5">
        <v>0</v>
      </c>
      <c r="F101" s="5">
        <f>ROUND(F100*0.18,O101)</f>
        <v>17630.63</v>
      </c>
      <c r="G101" s="5" t="s">
        <v>197</v>
      </c>
      <c r="H101" s="5" t="s">
        <v>198</v>
      </c>
      <c r="I101" s="5"/>
      <c r="J101" s="5"/>
      <c r="K101" s="5">
        <v>212</v>
      </c>
      <c r="L101" s="5">
        <v>31</v>
      </c>
      <c r="M101" s="5">
        <v>0</v>
      </c>
      <c r="N101" s="5" t="s">
        <v>3</v>
      </c>
      <c r="O101" s="5">
        <v>2</v>
      </c>
      <c r="P101" s="5">
        <f>ROUND(P100*0.18,O101)</f>
        <v>206417.9</v>
      </c>
      <c r="Q101" s="5"/>
      <c r="R101" s="5"/>
      <c r="S101" s="5"/>
      <c r="T101" s="5"/>
      <c r="U101" s="5"/>
      <c r="V101" s="5"/>
      <c r="W101" s="5"/>
    </row>
    <row r="102" spans="1:206">
      <c r="A102" s="5">
        <v>50</v>
      </c>
      <c r="B102" s="5">
        <v>1</v>
      </c>
      <c r="C102" s="5">
        <v>0</v>
      </c>
      <c r="D102" s="5">
        <v>2</v>
      </c>
      <c r="E102" s="5">
        <v>213</v>
      </c>
      <c r="F102" s="5">
        <f>ROUND(F100+F101,O102)</f>
        <v>115578.56</v>
      </c>
      <c r="G102" s="5" t="s">
        <v>199</v>
      </c>
      <c r="H102" s="5" t="s">
        <v>189</v>
      </c>
      <c r="I102" s="5"/>
      <c r="J102" s="5"/>
      <c r="K102" s="5">
        <v>212</v>
      </c>
      <c r="L102" s="5">
        <v>32</v>
      </c>
      <c r="M102" s="5">
        <v>0</v>
      </c>
      <c r="N102" s="5" t="s">
        <v>3</v>
      </c>
      <c r="O102" s="5">
        <v>2</v>
      </c>
      <c r="P102" s="5">
        <f>ROUND(P100+P101,O102)</f>
        <v>1353184.01</v>
      </c>
      <c r="Q102" s="5"/>
      <c r="R102" s="5"/>
      <c r="S102" s="5"/>
      <c r="T102" s="5"/>
      <c r="U102" s="5"/>
      <c r="V102" s="5"/>
      <c r="W102" s="5"/>
    </row>
    <row r="104" spans="1:206">
      <c r="A104" s="3">
        <v>51</v>
      </c>
      <c r="B104" s="3">
        <f>B12</f>
        <v>160</v>
      </c>
      <c r="C104" s="3">
        <f>A12</f>
        <v>1</v>
      </c>
      <c r="D104" s="3">
        <f>ROW(A12)</f>
        <v>12</v>
      </c>
      <c r="E104" s="3"/>
      <c r="F104" s="3" t="str">
        <f>IF(F12&lt;&gt;"",F12,"")</f>
        <v>Дорогобуж</v>
      </c>
      <c r="G104" s="3" t="str">
        <f>IF(G12&lt;&gt;"",G12,"")</f>
        <v>Благоустройство площадки</v>
      </c>
      <c r="H104" s="3">
        <v>0</v>
      </c>
      <c r="I104" s="3"/>
      <c r="J104" s="3"/>
      <c r="K104" s="3"/>
      <c r="L104" s="3"/>
      <c r="M104" s="3"/>
      <c r="N104" s="3"/>
      <c r="O104" s="3">
        <f t="shared" ref="O104:T104" si="63">ROUND(O69,2)</f>
        <v>88203.35</v>
      </c>
      <c r="P104" s="3">
        <f t="shared" si="63"/>
        <v>75017.14</v>
      </c>
      <c r="Q104" s="3">
        <f t="shared" si="63"/>
        <v>8820.74</v>
      </c>
      <c r="R104" s="3">
        <f t="shared" si="63"/>
        <v>547.05999999999995</v>
      </c>
      <c r="S104" s="3">
        <f t="shared" si="63"/>
        <v>4365.47</v>
      </c>
      <c r="T104" s="3">
        <f t="shared" si="63"/>
        <v>0</v>
      </c>
      <c r="U104" s="3">
        <f>U69</f>
        <v>656.96214963999989</v>
      </c>
      <c r="V104" s="3">
        <f>V69</f>
        <v>45.324802749999996</v>
      </c>
      <c r="W104" s="3">
        <f>ROUND(W69,2)</f>
        <v>0</v>
      </c>
      <c r="X104" s="3">
        <f>ROUND(X69,2)</f>
        <v>6164.49</v>
      </c>
      <c r="Y104" s="3">
        <f>ROUND(Y69,2)</f>
        <v>3580.09</v>
      </c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>
        <f t="shared" ref="AO104:BC104" si="64">ROUND(AO69,2)</f>
        <v>0</v>
      </c>
      <c r="AP104" s="3">
        <f t="shared" si="64"/>
        <v>0</v>
      </c>
      <c r="AQ104" s="3">
        <f t="shared" si="64"/>
        <v>0</v>
      </c>
      <c r="AR104" s="3">
        <f t="shared" si="64"/>
        <v>97947.93</v>
      </c>
      <c r="AS104" s="3">
        <f t="shared" si="64"/>
        <v>97947.93</v>
      </c>
      <c r="AT104" s="3">
        <f t="shared" si="64"/>
        <v>0</v>
      </c>
      <c r="AU104" s="3">
        <f t="shared" si="64"/>
        <v>0</v>
      </c>
      <c r="AV104" s="3">
        <f t="shared" si="64"/>
        <v>75017.14</v>
      </c>
      <c r="AW104" s="3">
        <f t="shared" si="64"/>
        <v>75017.14</v>
      </c>
      <c r="AX104" s="3">
        <f t="shared" si="64"/>
        <v>0</v>
      </c>
      <c r="AY104" s="3">
        <f t="shared" si="64"/>
        <v>75017.14</v>
      </c>
      <c r="AZ104" s="3">
        <f t="shared" si="64"/>
        <v>0</v>
      </c>
      <c r="BA104" s="3">
        <f t="shared" si="64"/>
        <v>0</v>
      </c>
      <c r="BB104" s="3">
        <f t="shared" si="64"/>
        <v>0</v>
      </c>
      <c r="BC104" s="3">
        <f t="shared" si="64"/>
        <v>0</v>
      </c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4">
        <f t="shared" ref="DG104:DL104" si="65">ROUND(DG69,2)</f>
        <v>1013403.53</v>
      </c>
      <c r="DH104" s="4">
        <f t="shared" si="65"/>
        <v>886858.56</v>
      </c>
      <c r="DI104" s="4">
        <f t="shared" si="65"/>
        <v>54776.78</v>
      </c>
      <c r="DJ104" s="4">
        <f t="shared" si="65"/>
        <v>8993.48</v>
      </c>
      <c r="DK104" s="4">
        <f t="shared" si="65"/>
        <v>71768.19</v>
      </c>
      <c r="DL104" s="4">
        <f t="shared" si="65"/>
        <v>0</v>
      </c>
      <c r="DM104" s="4">
        <f>DM69</f>
        <v>656.96214963999989</v>
      </c>
      <c r="DN104" s="4">
        <f>DN69</f>
        <v>45.324802749999996</v>
      </c>
      <c r="DO104" s="4">
        <f>ROUND(DO69,2)</f>
        <v>0</v>
      </c>
      <c r="DP104" s="4">
        <f>ROUND(DP69,2)</f>
        <v>86240.98</v>
      </c>
      <c r="DQ104" s="4">
        <f>ROUND(DQ69,2)</f>
        <v>47121.599999999999</v>
      </c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>
        <f t="shared" ref="EG104:EU104" si="66">ROUND(EG69,2)</f>
        <v>0</v>
      </c>
      <c r="EH104" s="4">
        <f t="shared" si="66"/>
        <v>0</v>
      </c>
      <c r="EI104" s="4">
        <f t="shared" si="66"/>
        <v>0</v>
      </c>
      <c r="EJ104" s="4">
        <f t="shared" si="66"/>
        <v>1146766.1100000001</v>
      </c>
      <c r="EK104" s="4">
        <f t="shared" si="66"/>
        <v>1146766.1100000001</v>
      </c>
      <c r="EL104" s="4">
        <f t="shared" si="66"/>
        <v>0</v>
      </c>
      <c r="EM104" s="4">
        <f t="shared" si="66"/>
        <v>0</v>
      </c>
      <c r="EN104" s="4">
        <f t="shared" si="66"/>
        <v>886858.56</v>
      </c>
      <c r="EO104" s="4">
        <f t="shared" si="66"/>
        <v>886858.56</v>
      </c>
      <c r="EP104" s="4">
        <f t="shared" si="66"/>
        <v>0</v>
      </c>
      <c r="EQ104" s="4">
        <f t="shared" si="66"/>
        <v>886858.56</v>
      </c>
      <c r="ER104" s="4">
        <f t="shared" si="66"/>
        <v>0</v>
      </c>
      <c r="ES104" s="4">
        <f t="shared" si="66"/>
        <v>0</v>
      </c>
      <c r="ET104" s="4">
        <f t="shared" si="66"/>
        <v>0</v>
      </c>
      <c r="EU104" s="4">
        <f t="shared" si="66"/>
        <v>0</v>
      </c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>
        <v>0</v>
      </c>
    </row>
    <row r="106" spans="1:206">
      <c r="A106" s="5">
        <v>50</v>
      </c>
      <c r="B106" s="5">
        <v>0</v>
      </c>
      <c r="C106" s="5">
        <v>0</v>
      </c>
      <c r="D106" s="5">
        <v>1</v>
      </c>
      <c r="E106" s="5">
        <v>201</v>
      </c>
      <c r="F106" s="5">
        <f>ROUND(Source!O104,O106)</f>
        <v>88203.35</v>
      </c>
      <c r="G106" s="5" t="s">
        <v>139</v>
      </c>
      <c r="H106" s="5" t="s">
        <v>140</v>
      </c>
      <c r="I106" s="5"/>
      <c r="J106" s="5"/>
      <c r="K106" s="5">
        <v>201</v>
      </c>
      <c r="L106" s="5">
        <v>1</v>
      </c>
      <c r="M106" s="5">
        <v>3</v>
      </c>
      <c r="N106" s="5" t="s">
        <v>3</v>
      </c>
      <c r="O106" s="5">
        <v>2</v>
      </c>
      <c r="P106" s="5">
        <f>ROUND(Source!DG104,O106)</f>
        <v>1013403.53</v>
      </c>
      <c r="Q106" s="5"/>
      <c r="R106" s="5"/>
      <c r="S106" s="5"/>
      <c r="T106" s="5"/>
      <c r="U106" s="5"/>
      <c r="V106" s="5"/>
      <c r="W106" s="5"/>
    </row>
    <row r="107" spans="1:206">
      <c r="A107" s="5">
        <v>50</v>
      </c>
      <c r="B107" s="5">
        <v>0</v>
      </c>
      <c r="C107" s="5">
        <v>0</v>
      </c>
      <c r="D107" s="5">
        <v>1</v>
      </c>
      <c r="E107" s="5">
        <v>202</v>
      </c>
      <c r="F107" s="5">
        <f>ROUND(Source!P104,O107)</f>
        <v>75017.14</v>
      </c>
      <c r="G107" s="5" t="s">
        <v>141</v>
      </c>
      <c r="H107" s="5" t="s">
        <v>142</v>
      </c>
      <c r="I107" s="5"/>
      <c r="J107" s="5"/>
      <c r="K107" s="5">
        <v>202</v>
      </c>
      <c r="L107" s="5">
        <v>2</v>
      </c>
      <c r="M107" s="5">
        <v>3</v>
      </c>
      <c r="N107" s="5" t="s">
        <v>3</v>
      </c>
      <c r="O107" s="5">
        <v>2</v>
      </c>
      <c r="P107" s="5">
        <f>ROUND(Source!DH104,O107)</f>
        <v>886858.56</v>
      </c>
      <c r="Q107" s="5"/>
      <c r="R107" s="5"/>
      <c r="S107" s="5"/>
      <c r="T107" s="5"/>
      <c r="U107" s="5"/>
      <c r="V107" s="5"/>
      <c r="W107" s="5"/>
    </row>
    <row r="108" spans="1:206">
      <c r="A108" s="5">
        <v>50</v>
      </c>
      <c r="B108" s="5">
        <v>0</v>
      </c>
      <c r="C108" s="5">
        <v>0</v>
      </c>
      <c r="D108" s="5">
        <v>1</v>
      </c>
      <c r="E108" s="5">
        <v>222</v>
      </c>
      <c r="F108" s="5">
        <f>ROUND(Source!AO104,O108)</f>
        <v>0</v>
      </c>
      <c r="G108" s="5" t="s">
        <v>143</v>
      </c>
      <c r="H108" s="5" t="s">
        <v>144</v>
      </c>
      <c r="I108" s="5"/>
      <c r="J108" s="5"/>
      <c r="K108" s="5">
        <v>222</v>
      </c>
      <c r="L108" s="5">
        <v>3</v>
      </c>
      <c r="M108" s="5">
        <v>3</v>
      </c>
      <c r="N108" s="5" t="s">
        <v>3</v>
      </c>
      <c r="O108" s="5">
        <v>2</v>
      </c>
      <c r="P108" s="5">
        <f>ROUND(Source!EG104,O108)</f>
        <v>0</v>
      </c>
      <c r="Q108" s="5"/>
      <c r="R108" s="5"/>
      <c r="S108" s="5"/>
      <c r="T108" s="5"/>
      <c r="U108" s="5"/>
      <c r="V108" s="5"/>
      <c r="W108" s="5"/>
    </row>
    <row r="109" spans="1:206">
      <c r="A109" s="5">
        <v>50</v>
      </c>
      <c r="B109" s="5">
        <v>0</v>
      </c>
      <c r="C109" s="5">
        <v>0</v>
      </c>
      <c r="D109" s="5">
        <v>1</v>
      </c>
      <c r="E109" s="5">
        <v>225</v>
      </c>
      <c r="F109" s="5">
        <f>ROUND(Source!AV104,O109)</f>
        <v>75017.14</v>
      </c>
      <c r="G109" s="5" t="s">
        <v>145</v>
      </c>
      <c r="H109" s="5" t="s">
        <v>146</v>
      </c>
      <c r="I109" s="5"/>
      <c r="J109" s="5"/>
      <c r="K109" s="5">
        <v>225</v>
      </c>
      <c r="L109" s="5">
        <v>4</v>
      </c>
      <c r="M109" s="5">
        <v>3</v>
      </c>
      <c r="N109" s="5" t="s">
        <v>3</v>
      </c>
      <c r="O109" s="5">
        <v>2</v>
      </c>
      <c r="P109" s="5">
        <f>ROUND(Source!EN104,O109)</f>
        <v>886858.56</v>
      </c>
      <c r="Q109" s="5"/>
      <c r="R109" s="5"/>
      <c r="S109" s="5"/>
      <c r="T109" s="5"/>
      <c r="U109" s="5"/>
      <c r="V109" s="5"/>
      <c r="W109" s="5"/>
    </row>
    <row r="110" spans="1:206">
      <c r="A110" s="5">
        <v>50</v>
      </c>
      <c r="B110" s="5">
        <v>0</v>
      </c>
      <c r="C110" s="5">
        <v>0</v>
      </c>
      <c r="D110" s="5">
        <v>1</v>
      </c>
      <c r="E110" s="5">
        <v>226</v>
      </c>
      <c r="F110" s="5">
        <f>ROUND(Source!AW104,O110)</f>
        <v>75017.14</v>
      </c>
      <c r="G110" s="5" t="s">
        <v>147</v>
      </c>
      <c r="H110" s="5" t="s">
        <v>148</v>
      </c>
      <c r="I110" s="5"/>
      <c r="J110" s="5"/>
      <c r="K110" s="5">
        <v>226</v>
      </c>
      <c r="L110" s="5">
        <v>5</v>
      </c>
      <c r="M110" s="5">
        <v>3</v>
      </c>
      <c r="N110" s="5" t="s">
        <v>3</v>
      </c>
      <c r="O110" s="5">
        <v>2</v>
      </c>
      <c r="P110" s="5">
        <f>ROUND(Source!EO104,O110)</f>
        <v>886858.56</v>
      </c>
      <c r="Q110" s="5"/>
      <c r="R110" s="5"/>
      <c r="S110" s="5"/>
      <c r="T110" s="5"/>
      <c r="U110" s="5"/>
      <c r="V110" s="5"/>
      <c r="W110" s="5"/>
    </row>
    <row r="111" spans="1:206">
      <c r="A111" s="5">
        <v>50</v>
      </c>
      <c r="B111" s="5">
        <v>0</v>
      </c>
      <c r="C111" s="5">
        <v>0</v>
      </c>
      <c r="D111" s="5">
        <v>1</v>
      </c>
      <c r="E111" s="5">
        <v>227</v>
      </c>
      <c r="F111" s="5">
        <f>ROUND(Source!AX104,O111)</f>
        <v>0</v>
      </c>
      <c r="G111" s="5" t="s">
        <v>149</v>
      </c>
      <c r="H111" s="5" t="s">
        <v>150</v>
      </c>
      <c r="I111" s="5"/>
      <c r="J111" s="5"/>
      <c r="K111" s="5">
        <v>227</v>
      </c>
      <c r="L111" s="5">
        <v>6</v>
      </c>
      <c r="M111" s="5">
        <v>3</v>
      </c>
      <c r="N111" s="5" t="s">
        <v>3</v>
      </c>
      <c r="O111" s="5">
        <v>2</v>
      </c>
      <c r="P111" s="5">
        <f>ROUND(Source!EP104,O111)</f>
        <v>0</v>
      </c>
      <c r="Q111" s="5"/>
      <c r="R111" s="5"/>
      <c r="S111" s="5"/>
      <c r="T111" s="5"/>
      <c r="U111" s="5"/>
      <c r="V111" s="5"/>
      <c r="W111" s="5"/>
    </row>
    <row r="112" spans="1:206">
      <c r="A112" s="5">
        <v>50</v>
      </c>
      <c r="B112" s="5">
        <v>0</v>
      </c>
      <c r="C112" s="5">
        <v>0</v>
      </c>
      <c r="D112" s="5">
        <v>1</v>
      </c>
      <c r="E112" s="5">
        <v>228</v>
      </c>
      <c r="F112" s="5">
        <f>ROUND(Source!AY104,O112)</f>
        <v>75017.14</v>
      </c>
      <c r="G112" s="5" t="s">
        <v>151</v>
      </c>
      <c r="H112" s="5" t="s">
        <v>152</v>
      </c>
      <c r="I112" s="5"/>
      <c r="J112" s="5"/>
      <c r="K112" s="5">
        <v>228</v>
      </c>
      <c r="L112" s="5">
        <v>7</v>
      </c>
      <c r="M112" s="5">
        <v>3</v>
      </c>
      <c r="N112" s="5" t="s">
        <v>3</v>
      </c>
      <c r="O112" s="5">
        <v>2</v>
      </c>
      <c r="P112" s="5">
        <f>ROUND(Source!EQ104,O112)</f>
        <v>886858.56</v>
      </c>
      <c r="Q112" s="5"/>
      <c r="R112" s="5"/>
      <c r="S112" s="5"/>
      <c r="T112" s="5"/>
      <c r="U112" s="5"/>
      <c r="V112" s="5"/>
      <c r="W112" s="5"/>
    </row>
    <row r="113" spans="1:23">
      <c r="A113" s="5">
        <v>50</v>
      </c>
      <c r="B113" s="5">
        <v>0</v>
      </c>
      <c r="C113" s="5">
        <v>0</v>
      </c>
      <c r="D113" s="5">
        <v>1</v>
      </c>
      <c r="E113" s="5">
        <v>216</v>
      </c>
      <c r="F113" s="5">
        <f>ROUND(Source!AP104,O113)</f>
        <v>0</v>
      </c>
      <c r="G113" s="5" t="s">
        <v>153</v>
      </c>
      <c r="H113" s="5" t="s">
        <v>154</v>
      </c>
      <c r="I113" s="5"/>
      <c r="J113" s="5"/>
      <c r="K113" s="5">
        <v>216</v>
      </c>
      <c r="L113" s="5">
        <v>8</v>
      </c>
      <c r="M113" s="5">
        <v>3</v>
      </c>
      <c r="N113" s="5" t="s">
        <v>3</v>
      </c>
      <c r="O113" s="5">
        <v>2</v>
      </c>
      <c r="P113" s="5">
        <f>ROUND(Source!EH104,O113)</f>
        <v>0</v>
      </c>
      <c r="Q113" s="5"/>
      <c r="R113" s="5"/>
      <c r="S113" s="5"/>
      <c r="T113" s="5"/>
      <c r="U113" s="5"/>
      <c r="V113" s="5"/>
      <c r="W113" s="5"/>
    </row>
    <row r="114" spans="1:23">
      <c r="A114" s="5">
        <v>50</v>
      </c>
      <c r="B114" s="5">
        <v>0</v>
      </c>
      <c r="C114" s="5">
        <v>0</v>
      </c>
      <c r="D114" s="5">
        <v>1</v>
      </c>
      <c r="E114" s="5">
        <v>223</v>
      </c>
      <c r="F114" s="5">
        <f>ROUND(Source!AQ104,O114)</f>
        <v>0</v>
      </c>
      <c r="G114" s="5" t="s">
        <v>155</v>
      </c>
      <c r="H114" s="5" t="s">
        <v>156</v>
      </c>
      <c r="I114" s="5"/>
      <c r="J114" s="5"/>
      <c r="K114" s="5">
        <v>223</v>
      </c>
      <c r="L114" s="5">
        <v>9</v>
      </c>
      <c r="M114" s="5">
        <v>3</v>
      </c>
      <c r="N114" s="5" t="s">
        <v>3</v>
      </c>
      <c r="O114" s="5">
        <v>2</v>
      </c>
      <c r="P114" s="5">
        <f>ROUND(Source!EI104,O114)</f>
        <v>0</v>
      </c>
      <c r="Q114" s="5"/>
      <c r="R114" s="5"/>
      <c r="S114" s="5"/>
      <c r="T114" s="5"/>
      <c r="U114" s="5"/>
      <c r="V114" s="5"/>
      <c r="W114" s="5"/>
    </row>
    <row r="115" spans="1:23">
      <c r="A115" s="5">
        <v>50</v>
      </c>
      <c r="B115" s="5">
        <v>0</v>
      </c>
      <c r="C115" s="5">
        <v>0</v>
      </c>
      <c r="D115" s="5">
        <v>1</v>
      </c>
      <c r="E115" s="5">
        <v>229</v>
      </c>
      <c r="F115" s="5">
        <f>ROUND(Source!AZ104,O115)</f>
        <v>0</v>
      </c>
      <c r="G115" s="5" t="s">
        <v>157</v>
      </c>
      <c r="H115" s="5" t="s">
        <v>158</v>
      </c>
      <c r="I115" s="5"/>
      <c r="J115" s="5"/>
      <c r="K115" s="5">
        <v>229</v>
      </c>
      <c r="L115" s="5">
        <v>10</v>
      </c>
      <c r="M115" s="5">
        <v>3</v>
      </c>
      <c r="N115" s="5" t="s">
        <v>3</v>
      </c>
      <c r="O115" s="5">
        <v>2</v>
      </c>
      <c r="P115" s="5">
        <f>ROUND(Source!ER104,O115)</f>
        <v>0</v>
      </c>
      <c r="Q115" s="5"/>
      <c r="R115" s="5"/>
      <c r="S115" s="5"/>
      <c r="T115" s="5"/>
      <c r="U115" s="5"/>
      <c r="V115" s="5"/>
      <c r="W115" s="5"/>
    </row>
    <row r="116" spans="1:23">
      <c r="A116" s="5">
        <v>50</v>
      </c>
      <c r="B116" s="5">
        <v>0</v>
      </c>
      <c r="C116" s="5">
        <v>0</v>
      </c>
      <c r="D116" s="5">
        <v>1</v>
      </c>
      <c r="E116" s="5">
        <v>203</v>
      </c>
      <c r="F116" s="5">
        <f>ROUND(Source!Q104,O116)</f>
        <v>8820.74</v>
      </c>
      <c r="G116" s="5" t="s">
        <v>159</v>
      </c>
      <c r="H116" s="5" t="s">
        <v>160</v>
      </c>
      <c r="I116" s="5"/>
      <c r="J116" s="5"/>
      <c r="K116" s="5">
        <v>203</v>
      </c>
      <c r="L116" s="5">
        <v>11</v>
      </c>
      <c r="M116" s="5">
        <v>3</v>
      </c>
      <c r="N116" s="5" t="s">
        <v>3</v>
      </c>
      <c r="O116" s="5">
        <v>2</v>
      </c>
      <c r="P116" s="5">
        <f>ROUND(Source!DI104,O116)</f>
        <v>54776.78</v>
      </c>
      <c r="Q116" s="5"/>
      <c r="R116" s="5"/>
      <c r="S116" s="5"/>
      <c r="T116" s="5"/>
      <c r="U116" s="5"/>
      <c r="V116" s="5"/>
      <c r="W116" s="5"/>
    </row>
    <row r="117" spans="1:23">
      <c r="A117" s="5">
        <v>50</v>
      </c>
      <c r="B117" s="5">
        <v>0</v>
      </c>
      <c r="C117" s="5">
        <v>0</v>
      </c>
      <c r="D117" s="5">
        <v>1</v>
      </c>
      <c r="E117" s="5">
        <v>231</v>
      </c>
      <c r="F117" s="5">
        <f>ROUND(Source!BB104,O117)</f>
        <v>0</v>
      </c>
      <c r="G117" s="5" t="s">
        <v>161</v>
      </c>
      <c r="H117" s="5" t="s">
        <v>162</v>
      </c>
      <c r="I117" s="5"/>
      <c r="J117" s="5"/>
      <c r="K117" s="5">
        <v>231</v>
      </c>
      <c r="L117" s="5">
        <v>12</v>
      </c>
      <c r="M117" s="5">
        <v>3</v>
      </c>
      <c r="N117" s="5" t="s">
        <v>3</v>
      </c>
      <c r="O117" s="5">
        <v>2</v>
      </c>
      <c r="P117" s="5">
        <f>ROUND(Source!ET104,O117)</f>
        <v>0</v>
      </c>
      <c r="Q117" s="5"/>
      <c r="R117" s="5"/>
      <c r="S117" s="5"/>
      <c r="T117" s="5"/>
      <c r="U117" s="5"/>
      <c r="V117" s="5"/>
      <c r="W117" s="5"/>
    </row>
    <row r="118" spans="1:23">
      <c r="A118" s="5">
        <v>50</v>
      </c>
      <c r="B118" s="5">
        <v>0</v>
      </c>
      <c r="C118" s="5">
        <v>0</v>
      </c>
      <c r="D118" s="5">
        <v>1</v>
      </c>
      <c r="E118" s="5">
        <v>204</v>
      </c>
      <c r="F118" s="5">
        <f>ROUND(Source!R104,O118)</f>
        <v>547.05999999999995</v>
      </c>
      <c r="G118" s="5" t="s">
        <v>163</v>
      </c>
      <c r="H118" s="5" t="s">
        <v>164</v>
      </c>
      <c r="I118" s="5"/>
      <c r="J118" s="5"/>
      <c r="K118" s="5">
        <v>204</v>
      </c>
      <c r="L118" s="5">
        <v>13</v>
      </c>
      <c r="M118" s="5">
        <v>3</v>
      </c>
      <c r="N118" s="5" t="s">
        <v>3</v>
      </c>
      <c r="O118" s="5">
        <v>2</v>
      </c>
      <c r="P118" s="5">
        <f>ROUND(Source!DJ104,O118)</f>
        <v>8993.48</v>
      </c>
      <c r="Q118" s="5"/>
      <c r="R118" s="5"/>
      <c r="S118" s="5"/>
      <c r="T118" s="5"/>
      <c r="U118" s="5"/>
      <c r="V118" s="5"/>
      <c r="W118" s="5"/>
    </row>
    <row r="119" spans="1:23">
      <c r="A119" s="5">
        <v>50</v>
      </c>
      <c r="B119" s="5">
        <v>0</v>
      </c>
      <c r="C119" s="5">
        <v>0</v>
      </c>
      <c r="D119" s="5">
        <v>1</v>
      </c>
      <c r="E119" s="5">
        <v>205</v>
      </c>
      <c r="F119" s="5">
        <f>ROUND(Source!S104,O119)</f>
        <v>4365.47</v>
      </c>
      <c r="G119" s="5" t="s">
        <v>165</v>
      </c>
      <c r="H119" s="5" t="s">
        <v>166</v>
      </c>
      <c r="I119" s="5"/>
      <c r="J119" s="5"/>
      <c r="K119" s="5">
        <v>205</v>
      </c>
      <c r="L119" s="5">
        <v>14</v>
      </c>
      <c r="M119" s="5">
        <v>3</v>
      </c>
      <c r="N119" s="5" t="s">
        <v>3</v>
      </c>
      <c r="O119" s="5">
        <v>2</v>
      </c>
      <c r="P119" s="5">
        <f>ROUND(Source!DK104,O119)</f>
        <v>71768.19</v>
      </c>
      <c r="Q119" s="5"/>
      <c r="R119" s="5"/>
      <c r="S119" s="5"/>
      <c r="T119" s="5"/>
      <c r="U119" s="5"/>
      <c r="V119" s="5"/>
      <c r="W119" s="5"/>
    </row>
    <row r="120" spans="1:23">
      <c r="A120" s="5">
        <v>50</v>
      </c>
      <c r="B120" s="5">
        <v>0</v>
      </c>
      <c r="C120" s="5">
        <v>0</v>
      </c>
      <c r="D120" s="5">
        <v>1</v>
      </c>
      <c r="E120" s="5">
        <v>232</v>
      </c>
      <c r="F120" s="5">
        <f>ROUND(Source!BC104,O120)</f>
        <v>0</v>
      </c>
      <c r="G120" s="5" t="s">
        <v>167</v>
      </c>
      <c r="H120" s="5" t="s">
        <v>168</v>
      </c>
      <c r="I120" s="5"/>
      <c r="J120" s="5"/>
      <c r="K120" s="5">
        <v>232</v>
      </c>
      <c r="L120" s="5">
        <v>15</v>
      </c>
      <c r="M120" s="5">
        <v>3</v>
      </c>
      <c r="N120" s="5" t="s">
        <v>3</v>
      </c>
      <c r="O120" s="5">
        <v>2</v>
      </c>
      <c r="P120" s="5">
        <f>ROUND(Source!EU104,O120)</f>
        <v>0</v>
      </c>
      <c r="Q120" s="5"/>
      <c r="R120" s="5"/>
      <c r="S120" s="5"/>
      <c r="T120" s="5"/>
      <c r="U120" s="5"/>
      <c r="V120" s="5"/>
      <c r="W120" s="5"/>
    </row>
    <row r="121" spans="1:23">
      <c r="A121" s="5">
        <v>50</v>
      </c>
      <c r="B121" s="5">
        <v>0</v>
      </c>
      <c r="C121" s="5">
        <v>0</v>
      </c>
      <c r="D121" s="5">
        <v>1</v>
      </c>
      <c r="E121" s="5">
        <v>214</v>
      </c>
      <c r="F121" s="5">
        <f>ROUND(Source!AS104,O121)</f>
        <v>97947.93</v>
      </c>
      <c r="G121" s="5" t="s">
        <v>169</v>
      </c>
      <c r="H121" s="5" t="s">
        <v>170</v>
      </c>
      <c r="I121" s="5"/>
      <c r="J121" s="5"/>
      <c r="K121" s="5">
        <v>214</v>
      </c>
      <c r="L121" s="5">
        <v>16</v>
      </c>
      <c r="M121" s="5">
        <v>3</v>
      </c>
      <c r="N121" s="5" t="s">
        <v>3</v>
      </c>
      <c r="O121" s="5">
        <v>2</v>
      </c>
      <c r="P121" s="5">
        <f>ROUND(Source!EK104,O121)</f>
        <v>1146766.1100000001</v>
      </c>
      <c r="Q121" s="5"/>
      <c r="R121" s="5"/>
      <c r="S121" s="5"/>
      <c r="T121" s="5"/>
      <c r="U121" s="5"/>
      <c r="V121" s="5"/>
      <c r="W121" s="5"/>
    </row>
    <row r="122" spans="1:23">
      <c r="A122" s="5">
        <v>50</v>
      </c>
      <c r="B122" s="5">
        <v>0</v>
      </c>
      <c r="C122" s="5">
        <v>0</v>
      </c>
      <c r="D122" s="5">
        <v>1</v>
      </c>
      <c r="E122" s="5">
        <v>215</v>
      </c>
      <c r="F122" s="5">
        <f>ROUND(Source!AT104,O122)</f>
        <v>0</v>
      </c>
      <c r="G122" s="5" t="s">
        <v>171</v>
      </c>
      <c r="H122" s="5" t="s">
        <v>172</v>
      </c>
      <c r="I122" s="5"/>
      <c r="J122" s="5"/>
      <c r="K122" s="5">
        <v>215</v>
      </c>
      <c r="L122" s="5">
        <v>17</v>
      </c>
      <c r="M122" s="5">
        <v>3</v>
      </c>
      <c r="N122" s="5" t="s">
        <v>3</v>
      </c>
      <c r="O122" s="5">
        <v>2</v>
      </c>
      <c r="P122" s="5">
        <f>ROUND(Source!EL104,O122)</f>
        <v>0</v>
      </c>
      <c r="Q122" s="5"/>
      <c r="R122" s="5"/>
      <c r="S122" s="5"/>
      <c r="T122" s="5"/>
      <c r="U122" s="5"/>
      <c r="V122" s="5"/>
      <c r="W122" s="5"/>
    </row>
    <row r="123" spans="1:23">
      <c r="A123" s="5">
        <v>50</v>
      </c>
      <c r="B123" s="5">
        <v>0</v>
      </c>
      <c r="C123" s="5">
        <v>0</v>
      </c>
      <c r="D123" s="5">
        <v>1</v>
      </c>
      <c r="E123" s="5">
        <v>217</v>
      </c>
      <c r="F123" s="5">
        <f>ROUND(Source!AU104,O123)</f>
        <v>0</v>
      </c>
      <c r="G123" s="5" t="s">
        <v>173</v>
      </c>
      <c r="H123" s="5" t="s">
        <v>174</v>
      </c>
      <c r="I123" s="5"/>
      <c r="J123" s="5"/>
      <c r="K123" s="5">
        <v>217</v>
      </c>
      <c r="L123" s="5">
        <v>18</v>
      </c>
      <c r="M123" s="5">
        <v>3</v>
      </c>
      <c r="N123" s="5" t="s">
        <v>3</v>
      </c>
      <c r="O123" s="5">
        <v>2</v>
      </c>
      <c r="P123" s="5">
        <f>ROUND(Source!EM104,O123)</f>
        <v>0</v>
      </c>
      <c r="Q123" s="5"/>
      <c r="R123" s="5"/>
      <c r="S123" s="5"/>
      <c r="T123" s="5"/>
      <c r="U123" s="5"/>
      <c r="V123" s="5"/>
      <c r="W123" s="5"/>
    </row>
    <row r="124" spans="1:23">
      <c r="A124" s="5">
        <v>50</v>
      </c>
      <c r="B124" s="5">
        <v>0</v>
      </c>
      <c r="C124" s="5">
        <v>0</v>
      </c>
      <c r="D124" s="5">
        <v>1</v>
      </c>
      <c r="E124" s="5">
        <v>230</v>
      </c>
      <c r="F124" s="5">
        <f>ROUND(Source!BA104,O124)</f>
        <v>0</v>
      </c>
      <c r="G124" s="5" t="s">
        <v>175</v>
      </c>
      <c r="H124" s="5" t="s">
        <v>176</v>
      </c>
      <c r="I124" s="5"/>
      <c r="J124" s="5"/>
      <c r="K124" s="5">
        <v>230</v>
      </c>
      <c r="L124" s="5">
        <v>19</v>
      </c>
      <c r="M124" s="5">
        <v>3</v>
      </c>
      <c r="N124" s="5" t="s">
        <v>3</v>
      </c>
      <c r="O124" s="5">
        <v>2</v>
      </c>
      <c r="P124" s="5">
        <f>ROUND(Source!ES104,O124)</f>
        <v>0</v>
      </c>
      <c r="Q124" s="5"/>
      <c r="R124" s="5"/>
      <c r="S124" s="5"/>
      <c r="T124" s="5"/>
      <c r="U124" s="5"/>
      <c r="V124" s="5"/>
      <c r="W124" s="5"/>
    </row>
    <row r="125" spans="1:23">
      <c r="A125" s="5">
        <v>50</v>
      </c>
      <c r="B125" s="5">
        <v>0</v>
      </c>
      <c r="C125" s="5">
        <v>0</v>
      </c>
      <c r="D125" s="5">
        <v>1</v>
      </c>
      <c r="E125" s="5">
        <v>206</v>
      </c>
      <c r="F125" s="5">
        <f>ROUND(Source!T104,O125)</f>
        <v>0</v>
      </c>
      <c r="G125" s="5" t="s">
        <v>177</v>
      </c>
      <c r="H125" s="5" t="s">
        <v>178</v>
      </c>
      <c r="I125" s="5"/>
      <c r="J125" s="5"/>
      <c r="K125" s="5">
        <v>206</v>
      </c>
      <c r="L125" s="5">
        <v>20</v>
      </c>
      <c r="M125" s="5">
        <v>3</v>
      </c>
      <c r="N125" s="5" t="s">
        <v>3</v>
      </c>
      <c r="O125" s="5">
        <v>2</v>
      </c>
      <c r="P125" s="5">
        <f>ROUND(Source!DL104,O125)</f>
        <v>0</v>
      </c>
      <c r="Q125" s="5"/>
      <c r="R125" s="5"/>
      <c r="S125" s="5"/>
      <c r="T125" s="5"/>
      <c r="U125" s="5"/>
      <c r="V125" s="5"/>
      <c r="W125" s="5"/>
    </row>
    <row r="126" spans="1:23">
      <c r="A126" s="5">
        <v>50</v>
      </c>
      <c r="B126" s="5">
        <v>0</v>
      </c>
      <c r="C126" s="5">
        <v>0</v>
      </c>
      <c r="D126" s="5">
        <v>1</v>
      </c>
      <c r="E126" s="5">
        <v>207</v>
      </c>
      <c r="F126" s="5">
        <f>Source!U104</f>
        <v>656.96214963999989</v>
      </c>
      <c r="G126" s="5" t="s">
        <v>179</v>
      </c>
      <c r="H126" s="5" t="s">
        <v>180</v>
      </c>
      <c r="I126" s="5"/>
      <c r="J126" s="5"/>
      <c r="K126" s="5">
        <v>207</v>
      </c>
      <c r="L126" s="5">
        <v>21</v>
      </c>
      <c r="M126" s="5">
        <v>3</v>
      </c>
      <c r="N126" s="5" t="s">
        <v>3</v>
      </c>
      <c r="O126" s="5">
        <v>-1</v>
      </c>
      <c r="P126" s="5">
        <f>Source!DM104</f>
        <v>656.96214963999989</v>
      </c>
      <c r="Q126" s="5"/>
      <c r="R126" s="5"/>
      <c r="S126" s="5"/>
      <c r="T126" s="5"/>
      <c r="U126" s="5"/>
      <c r="V126" s="5"/>
      <c r="W126" s="5"/>
    </row>
    <row r="127" spans="1:23">
      <c r="A127" s="5">
        <v>50</v>
      </c>
      <c r="B127" s="5">
        <v>0</v>
      </c>
      <c r="C127" s="5">
        <v>0</v>
      </c>
      <c r="D127" s="5">
        <v>1</v>
      </c>
      <c r="E127" s="5">
        <v>208</v>
      </c>
      <c r="F127" s="5">
        <f>Source!V104</f>
        <v>45.324802749999996</v>
      </c>
      <c r="G127" s="5" t="s">
        <v>181</v>
      </c>
      <c r="H127" s="5" t="s">
        <v>182</v>
      </c>
      <c r="I127" s="5"/>
      <c r="J127" s="5"/>
      <c r="K127" s="5">
        <v>208</v>
      </c>
      <c r="L127" s="5">
        <v>22</v>
      </c>
      <c r="M127" s="5">
        <v>3</v>
      </c>
      <c r="N127" s="5" t="s">
        <v>3</v>
      </c>
      <c r="O127" s="5">
        <v>-1</v>
      </c>
      <c r="P127" s="5">
        <f>Source!DN104</f>
        <v>45.324802749999996</v>
      </c>
      <c r="Q127" s="5"/>
      <c r="R127" s="5"/>
      <c r="S127" s="5"/>
      <c r="T127" s="5"/>
      <c r="U127" s="5"/>
      <c r="V127" s="5"/>
      <c r="W127" s="5"/>
    </row>
    <row r="128" spans="1:23">
      <c r="A128" s="5">
        <v>50</v>
      </c>
      <c r="B128" s="5">
        <v>0</v>
      </c>
      <c r="C128" s="5">
        <v>0</v>
      </c>
      <c r="D128" s="5">
        <v>1</v>
      </c>
      <c r="E128" s="5">
        <v>209</v>
      </c>
      <c r="F128" s="5">
        <f>ROUND(Source!W104,O128)</f>
        <v>0</v>
      </c>
      <c r="G128" s="5" t="s">
        <v>183</v>
      </c>
      <c r="H128" s="5" t="s">
        <v>184</v>
      </c>
      <c r="I128" s="5"/>
      <c r="J128" s="5"/>
      <c r="K128" s="5">
        <v>209</v>
      </c>
      <c r="L128" s="5">
        <v>23</v>
      </c>
      <c r="M128" s="5">
        <v>3</v>
      </c>
      <c r="N128" s="5" t="s">
        <v>3</v>
      </c>
      <c r="O128" s="5">
        <v>2</v>
      </c>
      <c r="P128" s="5">
        <f>ROUND(Source!DO104,O128)</f>
        <v>0</v>
      </c>
      <c r="Q128" s="5"/>
      <c r="R128" s="5"/>
      <c r="S128" s="5"/>
      <c r="T128" s="5"/>
      <c r="U128" s="5"/>
      <c r="V128" s="5"/>
      <c r="W128" s="5"/>
    </row>
    <row r="129" spans="1:23">
      <c r="A129" s="5">
        <v>50</v>
      </c>
      <c r="B129" s="5">
        <v>0</v>
      </c>
      <c r="C129" s="5">
        <v>0</v>
      </c>
      <c r="D129" s="5">
        <v>1</v>
      </c>
      <c r="E129" s="5">
        <v>210</v>
      </c>
      <c r="F129" s="5">
        <f>ROUND(Source!X104,O129)</f>
        <v>6164.49</v>
      </c>
      <c r="G129" s="5" t="s">
        <v>185</v>
      </c>
      <c r="H129" s="5" t="s">
        <v>186</v>
      </c>
      <c r="I129" s="5"/>
      <c r="J129" s="5"/>
      <c r="K129" s="5">
        <v>210</v>
      </c>
      <c r="L129" s="5">
        <v>24</v>
      </c>
      <c r="M129" s="5">
        <v>3</v>
      </c>
      <c r="N129" s="5" t="s">
        <v>3</v>
      </c>
      <c r="O129" s="5">
        <v>2</v>
      </c>
      <c r="P129" s="5">
        <f>ROUND(Source!DP104,O129)</f>
        <v>86240.98</v>
      </c>
      <c r="Q129" s="5"/>
      <c r="R129" s="5"/>
      <c r="S129" s="5"/>
      <c r="T129" s="5"/>
      <c r="U129" s="5"/>
      <c r="V129" s="5"/>
      <c r="W129" s="5"/>
    </row>
    <row r="130" spans="1:23">
      <c r="A130" s="5">
        <v>50</v>
      </c>
      <c r="B130" s="5">
        <v>0</v>
      </c>
      <c r="C130" s="5">
        <v>0</v>
      </c>
      <c r="D130" s="5">
        <v>1</v>
      </c>
      <c r="E130" s="5">
        <v>211</v>
      </c>
      <c r="F130" s="5">
        <f>ROUND(Source!Y104,O130)</f>
        <v>3580.09</v>
      </c>
      <c r="G130" s="5" t="s">
        <v>187</v>
      </c>
      <c r="H130" s="5" t="s">
        <v>188</v>
      </c>
      <c r="I130" s="5"/>
      <c r="J130" s="5"/>
      <c r="K130" s="5">
        <v>211</v>
      </c>
      <c r="L130" s="5">
        <v>25</v>
      </c>
      <c r="M130" s="5">
        <v>3</v>
      </c>
      <c r="N130" s="5" t="s">
        <v>3</v>
      </c>
      <c r="O130" s="5">
        <v>2</v>
      </c>
      <c r="P130" s="5">
        <f>ROUND(Source!DQ104,O130)</f>
        <v>47121.599999999999</v>
      </c>
      <c r="Q130" s="5"/>
      <c r="R130" s="5"/>
      <c r="S130" s="5"/>
      <c r="T130" s="5"/>
      <c r="U130" s="5"/>
      <c r="V130" s="5"/>
      <c r="W130" s="5"/>
    </row>
    <row r="131" spans="1:23">
      <c r="A131" s="5">
        <v>50</v>
      </c>
      <c r="B131" s="5">
        <v>0</v>
      </c>
      <c r="C131" s="5">
        <v>0</v>
      </c>
      <c r="D131" s="5">
        <v>1</v>
      </c>
      <c r="E131" s="5">
        <v>224</v>
      </c>
      <c r="F131" s="5">
        <f>ROUND(Source!AR104,O131)</f>
        <v>97947.93</v>
      </c>
      <c r="G131" s="5" t="s">
        <v>189</v>
      </c>
      <c r="H131" s="5" t="s">
        <v>190</v>
      </c>
      <c r="I131" s="5"/>
      <c r="J131" s="5"/>
      <c r="K131" s="5">
        <v>224</v>
      </c>
      <c r="L131" s="5">
        <v>26</v>
      </c>
      <c r="M131" s="5">
        <v>3</v>
      </c>
      <c r="N131" s="5" t="s">
        <v>3</v>
      </c>
      <c r="O131" s="5">
        <v>2</v>
      </c>
      <c r="P131" s="5">
        <f>ROUND(Source!EJ104,O131)</f>
        <v>1146766.1100000001</v>
      </c>
      <c r="Q131" s="5"/>
      <c r="R131" s="5"/>
      <c r="S131" s="5"/>
      <c r="T131" s="5"/>
      <c r="U131" s="5"/>
      <c r="V131" s="5"/>
      <c r="W131" s="5"/>
    </row>
    <row r="134" spans="1:23">
      <c r="A134">
        <v>70</v>
      </c>
      <c r="B134">
        <v>1</v>
      </c>
      <c r="D134">
        <v>1</v>
      </c>
      <c r="E134" t="s">
        <v>200</v>
      </c>
      <c r="F134" t="s">
        <v>201</v>
      </c>
      <c r="G134">
        <v>0</v>
      </c>
      <c r="H134">
        <v>0</v>
      </c>
      <c r="I134" t="s">
        <v>3</v>
      </c>
      <c r="J134">
        <v>1</v>
      </c>
      <c r="K134">
        <v>0</v>
      </c>
      <c r="L134" t="s">
        <v>3</v>
      </c>
      <c r="M134" t="s">
        <v>3</v>
      </c>
      <c r="N134">
        <v>0</v>
      </c>
      <c r="O134">
        <v>0</v>
      </c>
    </row>
    <row r="135" spans="1:23">
      <c r="A135">
        <v>70</v>
      </c>
      <c r="B135">
        <v>1</v>
      </c>
      <c r="D135">
        <v>2</v>
      </c>
      <c r="E135" t="s">
        <v>202</v>
      </c>
      <c r="F135" t="s">
        <v>203</v>
      </c>
      <c r="G135">
        <v>0</v>
      </c>
      <c r="H135">
        <v>0</v>
      </c>
      <c r="I135" t="s">
        <v>3</v>
      </c>
      <c r="J135">
        <v>1</v>
      </c>
      <c r="K135">
        <v>0</v>
      </c>
      <c r="L135" t="s">
        <v>3</v>
      </c>
      <c r="M135" t="s">
        <v>3</v>
      </c>
      <c r="N135">
        <v>0</v>
      </c>
      <c r="O135">
        <v>0</v>
      </c>
    </row>
    <row r="136" spans="1:23">
      <c r="A136">
        <v>70</v>
      </c>
      <c r="B136">
        <v>1</v>
      </c>
      <c r="D136">
        <v>3</v>
      </c>
      <c r="E136" t="s">
        <v>204</v>
      </c>
      <c r="F136" t="s">
        <v>205</v>
      </c>
      <c r="G136">
        <v>1</v>
      </c>
      <c r="H136">
        <v>0</v>
      </c>
      <c r="I136" t="s">
        <v>3</v>
      </c>
      <c r="J136">
        <v>1</v>
      </c>
      <c r="K136">
        <v>0</v>
      </c>
      <c r="L136" t="s">
        <v>3</v>
      </c>
      <c r="M136" t="s">
        <v>3</v>
      </c>
      <c r="N136">
        <v>0</v>
      </c>
      <c r="O136">
        <v>1</v>
      </c>
    </row>
    <row r="137" spans="1:23">
      <c r="A137">
        <v>70</v>
      </c>
      <c r="B137">
        <v>1</v>
      </c>
      <c r="D137">
        <v>4</v>
      </c>
      <c r="E137" t="s">
        <v>206</v>
      </c>
      <c r="F137" t="s">
        <v>207</v>
      </c>
      <c r="G137">
        <v>0</v>
      </c>
      <c r="H137">
        <v>0</v>
      </c>
      <c r="I137" t="s">
        <v>208</v>
      </c>
      <c r="J137">
        <v>0</v>
      </c>
      <c r="K137">
        <v>0</v>
      </c>
      <c r="L137" t="s">
        <v>3</v>
      </c>
      <c r="M137" t="s">
        <v>3</v>
      </c>
      <c r="N137">
        <v>0</v>
      </c>
      <c r="O137">
        <v>0</v>
      </c>
    </row>
    <row r="138" spans="1:23">
      <c r="A138">
        <v>70</v>
      </c>
      <c r="B138">
        <v>1</v>
      </c>
      <c r="D138">
        <v>5</v>
      </c>
      <c r="E138" t="s">
        <v>209</v>
      </c>
      <c r="F138" t="s">
        <v>210</v>
      </c>
      <c r="G138">
        <v>0</v>
      </c>
      <c r="H138">
        <v>0</v>
      </c>
      <c r="I138" t="s">
        <v>211</v>
      </c>
      <c r="J138">
        <v>0</v>
      </c>
      <c r="K138">
        <v>0</v>
      </c>
      <c r="L138" t="s">
        <v>3</v>
      </c>
      <c r="M138" t="s">
        <v>3</v>
      </c>
      <c r="N138">
        <v>0</v>
      </c>
      <c r="O138">
        <v>0</v>
      </c>
    </row>
    <row r="139" spans="1:23">
      <c r="A139">
        <v>70</v>
      </c>
      <c r="B139">
        <v>1</v>
      </c>
      <c r="D139">
        <v>6</v>
      </c>
      <c r="E139" t="s">
        <v>212</v>
      </c>
      <c r="F139" t="s">
        <v>213</v>
      </c>
      <c r="G139">
        <v>0</v>
      </c>
      <c r="H139">
        <v>0</v>
      </c>
      <c r="I139" t="s">
        <v>214</v>
      </c>
      <c r="J139">
        <v>0</v>
      </c>
      <c r="K139">
        <v>0</v>
      </c>
      <c r="L139" t="s">
        <v>3</v>
      </c>
      <c r="M139" t="s">
        <v>3</v>
      </c>
      <c r="N139">
        <v>0</v>
      </c>
      <c r="O139">
        <v>0</v>
      </c>
    </row>
    <row r="140" spans="1:23">
      <c r="A140">
        <v>70</v>
      </c>
      <c r="B140">
        <v>1</v>
      </c>
      <c r="D140">
        <v>7</v>
      </c>
      <c r="E140" t="s">
        <v>215</v>
      </c>
      <c r="F140" t="s">
        <v>216</v>
      </c>
      <c r="G140">
        <v>0</v>
      </c>
      <c r="H140">
        <v>0</v>
      </c>
      <c r="I140" t="s">
        <v>3</v>
      </c>
      <c r="J140">
        <v>0</v>
      </c>
      <c r="K140">
        <v>0</v>
      </c>
      <c r="L140" t="s">
        <v>3</v>
      </c>
      <c r="M140" t="s">
        <v>3</v>
      </c>
      <c r="N140">
        <v>0</v>
      </c>
      <c r="O140">
        <v>0</v>
      </c>
    </row>
    <row r="141" spans="1:23">
      <c r="A141">
        <v>70</v>
      </c>
      <c r="B141">
        <v>1</v>
      </c>
      <c r="D141">
        <v>8</v>
      </c>
      <c r="E141" t="s">
        <v>217</v>
      </c>
      <c r="F141" t="s">
        <v>218</v>
      </c>
      <c r="G141">
        <v>0</v>
      </c>
      <c r="H141">
        <v>0</v>
      </c>
      <c r="I141" t="s">
        <v>219</v>
      </c>
      <c r="J141">
        <v>0</v>
      </c>
      <c r="K141">
        <v>0</v>
      </c>
      <c r="L141" t="s">
        <v>3</v>
      </c>
      <c r="M141" t="s">
        <v>3</v>
      </c>
      <c r="N141">
        <v>0</v>
      </c>
      <c r="O141">
        <v>0</v>
      </c>
    </row>
    <row r="142" spans="1:23">
      <c r="A142">
        <v>70</v>
      </c>
      <c r="B142">
        <v>1</v>
      </c>
      <c r="D142">
        <v>9</v>
      </c>
      <c r="E142" t="s">
        <v>220</v>
      </c>
      <c r="F142" t="s">
        <v>221</v>
      </c>
      <c r="G142">
        <v>0</v>
      </c>
      <c r="H142">
        <v>0</v>
      </c>
      <c r="I142" t="s">
        <v>222</v>
      </c>
      <c r="J142">
        <v>0</v>
      </c>
      <c r="K142">
        <v>0</v>
      </c>
      <c r="L142" t="s">
        <v>3</v>
      </c>
      <c r="M142" t="s">
        <v>3</v>
      </c>
      <c r="N142">
        <v>0</v>
      </c>
      <c r="O142">
        <v>0</v>
      </c>
    </row>
    <row r="143" spans="1:23">
      <c r="A143">
        <v>70</v>
      </c>
      <c r="B143">
        <v>1</v>
      </c>
      <c r="D143">
        <v>10</v>
      </c>
      <c r="E143" t="s">
        <v>223</v>
      </c>
      <c r="F143" t="s">
        <v>224</v>
      </c>
      <c r="G143">
        <v>0</v>
      </c>
      <c r="H143">
        <v>0</v>
      </c>
      <c r="I143" t="s">
        <v>225</v>
      </c>
      <c r="J143">
        <v>0</v>
      </c>
      <c r="K143">
        <v>0</v>
      </c>
      <c r="L143" t="s">
        <v>3</v>
      </c>
      <c r="M143" t="s">
        <v>3</v>
      </c>
      <c r="N143">
        <v>0</v>
      </c>
      <c r="O143">
        <v>0</v>
      </c>
    </row>
    <row r="144" spans="1:23">
      <c r="A144">
        <v>70</v>
      </c>
      <c r="B144">
        <v>1</v>
      </c>
      <c r="D144">
        <v>11</v>
      </c>
      <c r="E144" t="s">
        <v>226</v>
      </c>
      <c r="F144" t="s">
        <v>227</v>
      </c>
      <c r="G144">
        <v>0</v>
      </c>
      <c r="H144">
        <v>0</v>
      </c>
      <c r="I144" t="s">
        <v>228</v>
      </c>
      <c r="J144">
        <v>0</v>
      </c>
      <c r="K144">
        <v>0</v>
      </c>
      <c r="L144" t="s">
        <v>3</v>
      </c>
      <c r="M144" t="s">
        <v>3</v>
      </c>
      <c r="N144">
        <v>0</v>
      </c>
      <c r="O144">
        <v>0</v>
      </c>
    </row>
    <row r="145" spans="1:15">
      <c r="A145">
        <v>70</v>
      </c>
      <c r="B145">
        <v>1</v>
      </c>
      <c r="D145">
        <v>1</v>
      </c>
      <c r="E145" t="s">
        <v>229</v>
      </c>
      <c r="F145" t="s">
        <v>230</v>
      </c>
      <c r="G145">
        <v>0.9</v>
      </c>
      <c r="H145">
        <v>1</v>
      </c>
      <c r="I145" t="s">
        <v>231</v>
      </c>
      <c r="J145">
        <v>0</v>
      </c>
      <c r="K145">
        <v>0</v>
      </c>
      <c r="L145" t="s">
        <v>3</v>
      </c>
      <c r="M145" t="s">
        <v>3</v>
      </c>
      <c r="N145">
        <v>0</v>
      </c>
      <c r="O145">
        <v>0.9</v>
      </c>
    </row>
    <row r="146" spans="1:15">
      <c r="A146">
        <v>70</v>
      </c>
      <c r="B146">
        <v>1</v>
      </c>
      <c r="D146">
        <v>2</v>
      </c>
      <c r="E146" t="s">
        <v>232</v>
      </c>
      <c r="F146" t="s">
        <v>233</v>
      </c>
      <c r="G146">
        <v>0.85</v>
      </c>
      <c r="H146">
        <v>1</v>
      </c>
      <c r="I146" t="s">
        <v>234</v>
      </c>
      <c r="J146">
        <v>0</v>
      </c>
      <c r="K146">
        <v>0</v>
      </c>
      <c r="L146" t="s">
        <v>3</v>
      </c>
      <c r="M146" t="s">
        <v>3</v>
      </c>
      <c r="N146">
        <v>0</v>
      </c>
      <c r="O146">
        <v>0.85</v>
      </c>
    </row>
    <row r="147" spans="1:15">
      <c r="A147">
        <v>70</v>
      </c>
      <c r="B147">
        <v>1</v>
      </c>
      <c r="D147">
        <v>3</v>
      </c>
      <c r="E147" t="s">
        <v>235</v>
      </c>
      <c r="F147" t="s">
        <v>236</v>
      </c>
      <c r="G147">
        <v>1</v>
      </c>
      <c r="H147">
        <v>0.85</v>
      </c>
      <c r="I147" t="s">
        <v>237</v>
      </c>
      <c r="J147">
        <v>0</v>
      </c>
      <c r="K147">
        <v>0</v>
      </c>
      <c r="L147" t="s">
        <v>3</v>
      </c>
      <c r="M147" t="s">
        <v>3</v>
      </c>
      <c r="N147">
        <v>0</v>
      </c>
      <c r="O147">
        <v>1</v>
      </c>
    </row>
    <row r="148" spans="1:15">
      <c r="A148">
        <v>70</v>
      </c>
      <c r="B148">
        <v>1</v>
      </c>
      <c r="D148">
        <v>4</v>
      </c>
      <c r="E148" t="s">
        <v>238</v>
      </c>
      <c r="F148" t="s">
        <v>239</v>
      </c>
      <c r="G148">
        <v>1</v>
      </c>
      <c r="H148">
        <v>0</v>
      </c>
      <c r="I148" t="s">
        <v>3</v>
      </c>
      <c r="J148">
        <v>0</v>
      </c>
      <c r="K148">
        <v>0</v>
      </c>
      <c r="L148" t="s">
        <v>3</v>
      </c>
      <c r="M148" t="s">
        <v>3</v>
      </c>
      <c r="N148">
        <v>0</v>
      </c>
      <c r="O148">
        <v>1</v>
      </c>
    </row>
    <row r="149" spans="1:15">
      <c r="A149">
        <v>70</v>
      </c>
      <c r="B149">
        <v>1</v>
      </c>
      <c r="D149">
        <v>5</v>
      </c>
      <c r="E149" t="s">
        <v>240</v>
      </c>
      <c r="F149" t="s">
        <v>241</v>
      </c>
      <c r="G149">
        <v>1</v>
      </c>
      <c r="H149">
        <v>0.8</v>
      </c>
      <c r="I149" t="s">
        <v>242</v>
      </c>
      <c r="J149">
        <v>0</v>
      </c>
      <c r="K149">
        <v>0</v>
      </c>
      <c r="L149" t="s">
        <v>3</v>
      </c>
      <c r="M149" t="s">
        <v>3</v>
      </c>
      <c r="N149">
        <v>0</v>
      </c>
      <c r="O149">
        <v>1</v>
      </c>
    </row>
    <row r="150" spans="1:15">
      <c r="A150">
        <v>70</v>
      </c>
      <c r="B150">
        <v>1</v>
      </c>
      <c r="D150">
        <v>6</v>
      </c>
      <c r="E150" t="s">
        <v>243</v>
      </c>
      <c r="F150" t="s">
        <v>244</v>
      </c>
      <c r="G150">
        <v>1</v>
      </c>
      <c r="H150">
        <v>0</v>
      </c>
      <c r="I150" t="s">
        <v>3</v>
      </c>
      <c r="J150">
        <v>0</v>
      </c>
      <c r="K150">
        <v>0</v>
      </c>
      <c r="L150" t="s">
        <v>3</v>
      </c>
      <c r="M150" t="s">
        <v>3</v>
      </c>
      <c r="N150">
        <v>0</v>
      </c>
      <c r="O150">
        <v>0.85</v>
      </c>
    </row>
    <row r="151" spans="1:15">
      <c r="A151">
        <v>70</v>
      </c>
      <c r="B151">
        <v>1</v>
      </c>
      <c r="D151">
        <v>7</v>
      </c>
      <c r="E151" t="s">
        <v>245</v>
      </c>
      <c r="F151" t="s">
        <v>246</v>
      </c>
      <c r="G151">
        <v>1</v>
      </c>
      <c r="H151">
        <v>0</v>
      </c>
      <c r="I151" t="s">
        <v>3</v>
      </c>
      <c r="J151">
        <v>0</v>
      </c>
      <c r="K151">
        <v>0</v>
      </c>
      <c r="L151" t="s">
        <v>3</v>
      </c>
      <c r="M151" t="s">
        <v>3</v>
      </c>
      <c r="N151">
        <v>0</v>
      </c>
      <c r="O151">
        <v>0.8</v>
      </c>
    </row>
    <row r="152" spans="1:15">
      <c r="A152">
        <v>70</v>
      </c>
      <c r="B152">
        <v>1</v>
      </c>
      <c r="D152">
        <v>8</v>
      </c>
      <c r="E152" t="s">
        <v>247</v>
      </c>
      <c r="F152" t="s">
        <v>248</v>
      </c>
      <c r="G152">
        <v>0.7</v>
      </c>
      <c r="H152">
        <v>0</v>
      </c>
      <c r="I152" t="s">
        <v>3</v>
      </c>
      <c r="J152">
        <v>0</v>
      </c>
      <c r="K152">
        <v>0</v>
      </c>
      <c r="L152" t="s">
        <v>3</v>
      </c>
      <c r="M152" t="s">
        <v>3</v>
      </c>
      <c r="N152">
        <v>0</v>
      </c>
      <c r="O152">
        <v>0.94</v>
      </c>
    </row>
    <row r="153" spans="1:15">
      <c r="A153">
        <v>70</v>
      </c>
      <c r="B153">
        <v>1</v>
      </c>
      <c r="D153">
        <v>9</v>
      </c>
      <c r="E153" t="s">
        <v>249</v>
      </c>
      <c r="F153" t="s">
        <v>250</v>
      </c>
      <c r="G153">
        <v>0.9</v>
      </c>
      <c r="H153">
        <v>0</v>
      </c>
      <c r="I153" t="s">
        <v>3</v>
      </c>
      <c r="J153">
        <v>0</v>
      </c>
      <c r="K153">
        <v>0</v>
      </c>
      <c r="L153" t="s">
        <v>3</v>
      </c>
      <c r="M153" t="s">
        <v>3</v>
      </c>
      <c r="N153">
        <v>0</v>
      </c>
      <c r="O153">
        <v>0.9</v>
      </c>
    </row>
    <row r="154" spans="1:15">
      <c r="A154">
        <v>70</v>
      </c>
      <c r="B154">
        <v>1</v>
      </c>
      <c r="D154">
        <v>10</v>
      </c>
      <c r="E154" t="s">
        <v>251</v>
      </c>
      <c r="F154" t="s">
        <v>252</v>
      </c>
      <c r="G154">
        <v>0.6</v>
      </c>
      <c r="H154">
        <v>0</v>
      </c>
      <c r="I154" t="s">
        <v>3</v>
      </c>
      <c r="J154">
        <v>0</v>
      </c>
      <c r="K154">
        <v>0</v>
      </c>
      <c r="L154" t="s">
        <v>3</v>
      </c>
      <c r="M154" t="s">
        <v>3</v>
      </c>
      <c r="N154">
        <v>0</v>
      </c>
      <c r="O154">
        <v>0.6</v>
      </c>
    </row>
    <row r="155" spans="1:15">
      <c r="A155">
        <v>70</v>
      </c>
      <c r="B155">
        <v>1</v>
      </c>
      <c r="D155">
        <v>11</v>
      </c>
      <c r="E155" t="s">
        <v>253</v>
      </c>
      <c r="F155" t="s">
        <v>254</v>
      </c>
      <c r="G155">
        <v>1.2</v>
      </c>
      <c r="H155">
        <v>0</v>
      </c>
      <c r="I155" t="s">
        <v>3</v>
      </c>
      <c r="J155">
        <v>0</v>
      </c>
      <c r="K155">
        <v>0</v>
      </c>
      <c r="L155" t="s">
        <v>3</v>
      </c>
      <c r="M155" t="s">
        <v>3</v>
      </c>
      <c r="N155">
        <v>0</v>
      </c>
      <c r="O155">
        <v>1.2</v>
      </c>
    </row>
    <row r="156" spans="1:15">
      <c r="A156">
        <v>70</v>
      </c>
      <c r="B156">
        <v>1</v>
      </c>
      <c r="D156">
        <v>12</v>
      </c>
      <c r="E156" t="s">
        <v>255</v>
      </c>
      <c r="F156" t="s">
        <v>256</v>
      </c>
      <c r="G156">
        <v>0</v>
      </c>
      <c r="H156">
        <v>0</v>
      </c>
      <c r="I156" t="s">
        <v>3</v>
      </c>
      <c r="J156">
        <v>0</v>
      </c>
      <c r="K156">
        <v>0</v>
      </c>
      <c r="L156" t="s">
        <v>3</v>
      </c>
      <c r="M156" t="s">
        <v>3</v>
      </c>
      <c r="N156">
        <v>0</v>
      </c>
      <c r="O156">
        <v>0</v>
      </c>
    </row>
    <row r="158" spans="1:15">
      <c r="A158">
        <v>-1</v>
      </c>
    </row>
    <row r="160" spans="1:15">
      <c r="A160" s="4">
        <v>75</v>
      </c>
      <c r="B160" s="4" t="s">
        <v>257</v>
      </c>
      <c r="C160" s="4">
        <v>2000</v>
      </c>
      <c r="D160" s="4">
        <v>0</v>
      </c>
      <c r="E160" s="4">
        <v>1</v>
      </c>
      <c r="F160" s="4"/>
      <c r="G160" s="4">
        <v>0</v>
      </c>
      <c r="H160" s="4">
        <v>1</v>
      </c>
      <c r="I160" s="4">
        <v>0</v>
      </c>
      <c r="J160" s="4">
        <v>3</v>
      </c>
      <c r="K160" s="4">
        <v>0</v>
      </c>
      <c r="L160" s="4">
        <v>0</v>
      </c>
      <c r="M160" s="4">
        <v>0</v>
      </c>
      <c r="N160" s="4">
        <v>34847864</v>
      </c>
      <c r="O160" s="4">
        <v>1</v>
      </c>
    </row>
    <row r="161" spans="1:34">
      <c r="A161" s="4">
        <v>75</v>
      </c>
      <c r="B161" s="4" t="s">
        <v>258</v>
      </c>
      <c r="C161" s="4">
        <v>2018</v>
      </c>
      <c r="D161" s="4">
        <v>1</v>
      </c>
      <c r="E161" s="4">
        <v>0</v>
      </c>
      <c r="F161" s="4"/>
      <c r="G161" s="4">
        <v>0</v>
      </c>
      <c r="H161" s="4">
        <v>1</v>
      </c>
      <c r="I161" s="4">
        <v>0</v>
      </c>
      <c r="J161" s="4">
        <v>3</v>
      </c>
      <c r="K161" s="4">
        <v>0</v>
      </c>
      <c r="L161" s="4">
        <v>0</v>
      </c>
      <c r="M161" s="4">
        <v>1</v>
      </c>
      <c r="N161" s="4">
        <v>34847877</v>
      </c>
      <c r="O161" s="4">
        <v>2</v>
      </c>
    </row>
    <row r="162" spans="1:34">
      <c r="A162" s="6">
        <v>3</v>
      </c>
      <c r="B162" s="6" t="s">
        <v>259</v>
      </c>
      <c r="C162" s="6">
        <v>1</v>
      </c>
      <c r="D162" s="6">
        <v>5.9</v>
      </c>
      <c r="E162" s="6">
        <v>6.21</v>
      </c>
      <c r="F162" s="6">
        <v>16.440000000000001</v>
      </c>
      <c r="G162" s="6">
        <v>16.440000000000001</v>
      </c>
      <c r="H162" s="6">
        <v>1</v>
      </c>
      <c r="I162" s="6">
        <v>1</v>
      </c>
      <c r="J162" s="6">
        <v>2</v>
      </c>
      <c r="K162" s="6">
        <v>1</v>
      </c>
      <c r="L162" s="6">
        <v>6.21</v>
      </c>
      <c r="M162" s="6">
        <v>1</v>
      </c>
      <c r="N162" s="6">
        <v>5.9</v>
      </c>
      <c r="O162" s="6">
        <v>1</v>
      </c>
      <c r="P162" s="6">
        <v>1</v>
      </c>
      <c r="Q162" s="6">
        <v>1</v>
      </c>
      <c r="R162" s="6">
        <v>6.21</v>
      </c>
      <c r="S162" s="6" t="s">
        <v>3</v>
      </c>
      <c r="T162" s="6" t="s">
        <v>3</v>
      </c>
      <c r="U162" s="6" t="s">
        <v>3</v>
      </c>
      <c r="V162" s="6" t="s">
        <v>3</v>
      </c>
      <c r="W162" s="6" t="s">
        <v>3</v>
      </c>
      <c r="X162" s="6" t="s">
        <v>3</v>
      </c>
      <c r="Y162" s="6" t="s">
        <v>3</v>
      </c>
      <c r="Z162" s="6" t="s">
        <v>3</v>
      </c>
      <c r="AA162" s="6" t="s">
        <v>3</v>
      </c>
      <c r="AB162" s="6" t="s">
        <v>3</v>
      </c>
      <c r="AC162" s="6" t="s">
        <v>3</v>
      </c>
      <c r="AD162" s="6" t="s">
        <v>3</v>
      </c>
      <c r="AE162" s="6" t="s">
        <v>3</v>
      </c>
      <c r="AF162" s="6" t="s">
        <v>3</v>
      </c>
      <c r="AG162" s="6" t="s">
        <v>3</v>
      </c>
      <c r="AH162" s="6" t="s">
        <v>3</v>
      </c>
    </row>
    <row r="166" spans="1:34">
      <c r="A166">
        <v>65</v>
      </c>
      <c r="C166">
        <v>1</v>
      </c>
      <c r="D166">
        <v>0</v>
      </c>
      <c r="E166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2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260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51900</v>
      </c>
      <c r="M1">
        <v>11</v>
      </c>
    </row>
    <row r="12" spans="1:133">
      <c r="A12" s="1">
        <v>1</v>
      </c>
      <c r="B12" s="1">
        <v>50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8</v>
      </c>
      <c r="CB12" s="1" t="s">
        <v>8</v>
      </c>
      <c r="CC12" s="1" t="s">
        <v>8</v>
      </c>
      <c r="CD12" s="1" t="s">
        <v>8</v>
      </c>
      <c r="CE12" s="1" t="s">
        <v>3</v>
      </c>
      <c r="CF12" s="1">
        <v>0</v>
      </c>
      <c r="CG12" s="1">
        <v>0</v>
      </c>
      <c r="CH12" s="1">
        <v>8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34847864</v>
      </c>
      <c r="E14" s="1">
        <v>34847877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7">
        <v>3</v>
      </c>
      <c r="B16" s="7">
        <v>1</v>
      </c>
      <c r="C16" s="7" t="s">
        <v>10</v>
      </c>
      <c r="D16" s="7" t="s">
        <v>10</v>
      </c>
      <c r="E16" s="8">
        <f>(Source!F86)/1000</f>
        <v>97.947929999999999</v>
      </c>
      <c r="F16" s="8">
        <f>(Source!F87)/1000</f>
        <v>0</v>
      </c>
      <c r="G16" s="8">
        <f>(Source!F78)/1000</f>
        <v>0</v>
      </c>
      <c r="H16" s="8">
        <f>(Source!F88)/1000+(Source!F89)/1000</f>
        <v>0</v>
      </c>
      <c r="I16" s="8">
        <f>E16+F16+G16+H16</f>
        <v>97.947929999999999</v>
      </c>
      <c r="J16" s="8">
        <f>(Source!F84)/1000</f>
        <v>4.3654700000000002</v>
      </c>
      <c r="T16" s="9">
        <f>(Source!P86)/1000</f>
        <v>1146.76611</v>
      </c>
      <c r="U16" s="9">
        <f>(Source!P87)/1000</f>
        <v>0</v>
      </c>
      <c r="V16" s="9">
        <f>(Source!P78)/1000</f>
        <v>0</v>
      </c>
      <c r="W16" s="9">
        <f>(Source!P88)/1000+(Source!P89)/1000</f>
        <v>0</v>
      </c>
      <c r="X16" s="9">
        <f>T16+U16+V16+W16</f>
        <v>1146.76611</v>
      </c>
      <c r="Y16" s="9">
        <f>(Source!P84)/1000</f>
        <v>71.768190000000004</v>
      </c>
      <c r="AI16" s="7">
        <v>0</v>
      </c>
      <c r="AJ16" s="7">
        <v>0</v>
      </c>
      <c r="AK16" s="7" t="s">
        <v>3</v>
      </c>
      <c r="AL16" s="7" t="s">
        <v>3</v>
      </c>
      <c r="AM16" s="7" t="s">
        <v>3</v>
      </c>
      <c r="AN16" s="7">
        <v>0</v>
      </c>
      <c r="AO16" s="7" t="s">
        <v>3</v>
      </c>
      <c r="AP16" s="7" t="s">
        <v>3</v>
      </c>
      <c r="AT16" s="8">
        <v>88203.35</v>
      </c>
      <c r="AU16" s="8">
        <v>75017.14</v>
      </c>
      <c r="AV16" s="8">
        <v>0</v>
      </c>
      <c r="AW16" s="8">
        <v>0</v>
      </c>
      <c r="AX16" s="8">
        <v>0</v>
      </c>
      <c r="AY16" s="8">
        <v>8820.74</v>
      </c>
      <c r="AZ16" s="8">
        <v>547.05999999999995</v>
      </c>
      <c r="BA16" s="8">
        <v>4365.47</v>
      </c>
      <c r="BB16" s="8">
        <v>97947.93</v>
      </c>
      <c r="BC16" s="8">
        <v>0</v>
      </c>
      <c r="BD16" s="8">
        <v>0</v>
      </c>
      <c r="BE16" s="8">
        <v>0</v>
      </c>
      <c r="BF16" s="8">
        <v>656.96214964000001</v>
      </c>
      <c r="BG16" s="8">
        <v>45.324802749999996</v>
      </c>
      <c r="BH16" s="8">
        <v>0</v>
      </c>
      <c r="BI16" s="8">
        <v>6164.49</v>
      </c>
      <c r="BJ16" s="8">
        <v>3580.09</v>
      </c>
      <c r="BK16" s="8">
        <v>97947.93</v>
      </c>
      <c r="BR16" s="9">
        <v>1013403.53</v>
      </c>
      <c r="BS16" s="9">
        <v>886858.56</v>
      </c>
      <c r="BT16" s="9">
        <v>0</v>
      </c>
      <c r="BU16" s="9">
        <v>0</v>
      </c>
      <c r="BV16" s="9">
        <v>0</v>
      </c>
      <c r="BW16" s="9">
        <v>54776.78</v>
      </c>
      <c r="BX16" s="9">
        <v>8993.48</v>
      </c>
      <c r="BY16" s="9">
        <v>71768.19</v>
      </c>
      <c r="BZ16" s="9">
        <v>1146766.1100000001</v>
      </c>
      <c r="CA16" s="9">
        <v>0</v>
      </c>
      <c r="CB16" s="9">
        <v>0</v>
      </c>
      <c r="CC16" s="9">
        <v>0</v>
      </c>
      <c r="CD16" s="9">
        <v>656.96214964000001</v>
      </c>
      <c r="CE16" s="9">
        <v>45.324802749999996</v>
      </c>
      <c r="CF16" s="9">
        <v>0</v>
      </c>
      <c r="CG16" s="9">
        <v>86240.98</v>
      </c>
      <c r="CH16" s="9">
        <v>47121.599999999999</v>
      </c>
      <c r="CI16" s="9">
        <v>1146766.1100000001</v>
      </c>
    </row>
    <row r="18" spans="1:40">
      <c r="A18">
        <v>51</v>
      </c>
      <c r="E18" s="10">
        <f>SUMIF(A16:A17,3,E16:E17)</f>
        <v>97.947929999999999</v>
      </c>
      <c r="F18" s="10">
        <f>SUMIF(A16:A17,3,F16:F17)</f>
        <v>0</v>
      </c>
      <c r="G18" s="10">
        <f>SUMIF(A16:A17,3,G16:G17)</f>
        <v>0</v>
      </c>
      <c r="H18" s="10">
        <f>SUMIF(A16:A17,3,H16:H17)</f>
        <v>0</v>
      </c>
      <c r="I18" s="10">
        <f>SUMIF(A16:A17,3,I16:I17)</f>
        <v>97.947929999999999</v>
      </c>
      <c r="J18" s="10">
        <f>SUMIF(A16:A17,3,J16:J17)</f>
        <v>4.3654700000000002</v>
      </c>
      <c r="K18" s="10"/>
      <c r="L18" s="10"/>
      <c r="M18" s="10"/>
      <c r="N18" s="10"/>
      <c r="O18" s="10"/>
      <c r="P18" s="10"/>
      <c r="Q18" s="10"/>
      <c r="R18" s="10"/>
      <c r="S18" s="10"/>
      <c r="T18" s="3">
        <f>SUMIF(A16:A17,3,T16:T17)</f>
        <v>1146.76611</v>
      </c>
      <c r="U18" s="3">
        <f>SUMIF(A16:A17,3,U16:U17)</f>
        <v>0</v>
      </c>
      <c r="V18" s="3">
        <f>SUMIF(A16:A17,3,V16:V17)</f>
        <v>0</v>
      </c>
      <c r="W18" s="3">
        <f>SUMIF(A16:A17,3,W16:W17)</f>
        <v>0</v>
      </c>
      <c r="X18" s="3">
        <f>SUMIF(A16:A17,3,X16:X17)</f>
        <v>1146.76611</v>
      </c>
      <c r="Y18" s="3">
        <f>SUMIF(A16:A17,3,Y16:Y17)</f>
        <v>71.768190000000004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20" spans="1:40">
      <c r="A20" s="5">
        <v>50</v>
      </c>
      <c r="B20" s="5">
        <v>0</v>
      </c>
      <c r="C20" s="5">
        <v>0</v>
      </c>
      <c r="D20" s="5">
        <v>1</v>
      </c>
      <c r="E20" s="5">
        <v>201</v>
      </c>
      <c r="F20" s="5">
        <v>88203.35</v>
      </c>
      <c r="G20" s="5" t="s">
        <v>139</v>
      </c>
      <c r="H20" s="5" t="s">
        <v>140</v>
      </c>
      <c r="I20" s="5"/>
      <c r="J20" s="5"/>
      <c r="K20" s="5">
        <v>201</v>
      </c>
      <c r="L20" s="5">
        <v>1</v>
      </c>
      <c r="M20" s="5">
        <v>3</v>
      </c>
      <c r="N20" s="5" t="s">
        <v>3</v>
      </c>
      <c r="O20" s="5">
        <v>2</v>
      </c>
      <c r="P20" s="5">
        <v>1013403.53</v>
      </c>
    </row>
    <row r="21" spans="1:40">
      <c r="A21" s="5">
        <v>50</v>
      </c>
      <c r="B21" s="5">
        <v>0</v>
      </c>
      <c r="C21" s="5">
        <v>0</v>
      </c>
      <c r="D21" s="5">
        <v>1</v>
      </c>
      <c r="E21" s="5">
        <v>202</v>
      </c>
      <c r="F21" s="5">
        <v>75017.14</v>
      </c>
      <c r="G21" s="5" t="s">
        <v>141</v>
      </c>
      <c r="H21" s="5" t="s">
        <v>142</v>
      </c>
      <c r="I21" s="5"/>
      <c r="J21" s="5"/>
      <c r="K21" s="5">
        <v>202</v>
      </c>
      <c r="L21" s="5">
        <v>2</v>
      </c>
      <c r="M21" s="5">
        <v>3</v>
      </c>
      <c r="N21" s="5" t="s">
        <v>3</v>
      </c>
      <c r="O21" s="5">
        <v>2</v>
      </c>
      <c r="P21" s="5">
        <v>886858.56</v>
      </c>
    </row>
    <row r="22" spans="1:40">
      <c r="A22" s="5">
        <v>50</v>
      </c>
      <c r="B22" s="5">
        <v>0</v>
      </c>
      <c r="C22" s="5">
        <v>0</v>
      </c>
      <c r="D22" s="5">
        <v>1</v>
      </c>
      <c r="E22" s="5">
        <v>222</v>
      </c>
      <c r="F22" s="5">
        <v>0</v>
      </c>
      <c r="G22" s="5" t="s">
        <v>143</v>
      </c>
      <c r="H22" s="5" t="s">
        <v>144</v>
      </c>
      <c r="I22" s="5"/>
      <c r="J22" s="5"/>
      <c r="K22" s="5">
        <v>222</v>
      </c>
      <c r="L22" s="5">
        <v>3</v>
      </c>
      <c r="M22" s="5">
        <v>3</v>
      </c>
      <c r="N22" s="5" t="s">
        <v>3</v>
      </c>
      <c r="O22" s="5">
        <v>2</v>
      </c>
      <c r="P22" s="5">
        <v>0</v>
      </c>
    </row>
    <row r="23" spans="1:40">
      <c r="A23" s="5">
        <v>50</v>
      </c>
      <c r="B23" s="5">
        <v>0</v>
      </c>
      <c r="C23" s="5">
        <v>0</v>
      </c>
      <c r="D23" s="5">
        <v>1</v>
      </c>
      <c r="E23" s="5">
        <v>225</v>
      </c>
      <c r="F23" s="5">
        <v>75017.14</v>
      </c>
      <c r="G23" s="5" t="s">
        <v>145</v>
      </c>
      <c r="H23" s="5" t="s">
        <v>146</v>
      </c>
      <c r="I23" s="5"/>
      <c r="J23" s="5"/>
      <c r="K23" s="5">
        <v>225</v>
      </c>
      <c r="L23" s="5">
        <v>4</v>
      </c>
      <c r="M23" s="5">
        <v>3</v>
      </c>
      <c r="N23" s="5" t="s">
        <v>3</v>
      </c>
      <c r="O23" s="5">
        <v>2</v>
      </c>
      <c r="P23" s="5">
        <v>886858.56</v>
      </c>
    </row>
    <row r="24" spans="1:40">
      <c r="A24" s="5">
        <v>50</v>
      </c>
      <c r="B24" s="5">
        <v>0</v>
      </c>
      <c r="C24" s="5">
        <v>0</v>
      </c>
      <c r="D24" s="5">
        <v>1</v>
      </c>
      <c r="E24" s="5">
        <v>226</v>
      </c>
      <c r="F24" s="5">
        <v>75017.14</v>
      </c>
      <c r="G24" s="5" t="s">
        <v>147</v>
      </c>
      <c r="H24" s="5" t="s">
        <v>148</v>
      </c>
      <c r="I24" s="5"/>
      <c r="J24" s="5"/>
      <c r="K24" s="5">
        <v>226</v>
      </c>
      <c r="L24" s="5">
        <v>5</v>
      </c>
      <c r="M24" s="5">
        <v>3</v>
      </c>
      <c r="N24" s="5" t="s">
        <v>3</v>
      </c>
      <c r="O24" s="5">
        <v>2</v>
      </c>
      <c r="P24" s="5">
        <v>886858.56</v>
      </c>
    </row>
    <row r="25" spans="1:40">
      <c r="A25" s="5">
        <v>50</v>
      </c>
      <c r="B25" s="5">
        <v>0</v>
      </c>
      <c r="C25" s="5">
        <v>0</v>
      </c>
      <c r="D25" s="5">
        <v>1</v>
      </c>
      <c r="E25" s="5">
        <v>227</v>
      </c>
      <c r="F25" s="5">
        <v>0</v>
      </c>
      <c r="G25" s="5" t="s">
        <v>149</v>
      </c>
      <c r="H25" s="5" t="s">
        <v>150</v>
      </c>
      <c r="I25" s="5"/>
      <c r="J25" s="5"/>
      <c r="K25" s="5">
        <v>227</v>
      </c>
      <c r="L25" s="5">
        <v>6</v>
      </c>
      <c r="M25" s="5">
        <v>3</v>
      </c>
      <c r="N25" s="5" t="s">
        <v>3</v>
      </c>
      <c r="O25" s="5">
        <v>2</v>
      </c>
      <c r="P25" s="5">
        <v>0</v>
      </c>
    </row>
    <row r="26" spans="1:40">
      <c r="A26" s="5">
        <v>50</v>
      </c>
      <c r="B26" s="5">
        <v>0</v>
      </c>
      <c r="C26" s="5">
        <v>0</v>
      </c>
      <c r="D26" s="5">
        <v>1</v>
      </c>
      <c r="E26" s="5">
        <v>228</v>
      </c>
      <c r="F26" s="5">
        <v>75017.14</v>
      </c>
      <c r="G26" s="5" t="s">
        <v>151</v>
      </c>
      <c r="H26" s="5" t="s">
        <v>152</v>
      </c>
      <c r="I26" s="5"/>
      <c r="J26" s="5"/>
      <c r="K26" s="5">
        <v>228</v>
      </c>
      <c r="L26" s="5">
        <v>7</v>
      </c>
      <c r="M26" s="5">
        <v>3</v>
      </c>
      <c r="N26" s="5" t="s">
        <v>3</v>
      </c>
      <c r="O26" s="5">
        <v>2</v>
      </c>
      <c r="P26" s="5">
        <v>886858.56</v>
      </c>
    </row>
    <row r="27" spans="1:40">
      <c r="A27" s="5">
        <v>50</v>
      </c>
      <c r="B27" s="5">
        <v>0</v>
      </c>
      <c r="C27" s="5">
        <v>0</v>
      </c>
      <c r="D27" s="5">
        <v>1</v>
      </c>
      <c r="E27" s="5">
        <v>216</v>
      </c>
      <c r="F27" s="5">
        <v>0</v>
      </c>
      <c r="G27" s="5" t="s">
        <v>153</v>
      </c>
      <c r="H27" s="5" t="s">
        <v>154</v>
      </c>
      <c r="I27" s="5"/>
      <c r="J27" s="5"/>
      <c r="K27" s="5">
        <v>216</v>
      </c>
      <c r="L27" s="5">
        <v>8</v>
      </c>
      <c r="M27" s="5">
        <v>3</v>
      </c>
      <c r="N27" s="5" t="s">
        <v>3</v>
      </c>
      <c r="O27" s="5">
        <v>2</v>
      </c>
      <c r="P27" s="5">
        <v>0</v>
      </c>
    </row>
    <row r="28" spans="1:40">
      <c r="A28" s="5">
        <v>50</v>
      </c>
      <c r="B28" s="5">
        <v>0</v>
      </c>
      <c r="C28" s="5">
        <v>0</v>
      </c>
      <c r="D28" s="5">
        <v>1</v>
      </c>
      <c r="E28" s="5">
        <v>223</v>
      </c>
      <c r="F28" s="5">
        <v>0</v>
      </c>
      <c r="G28" s="5" t="s">
        <v>155</v>
      </c>
      <c r="H28" s="5" t="s">
        <v>156</v>
      </c>
      <c r="I28" s="5"/>
      <c r="J28" s="5"/>
      <c r="K28" s="5">
        <v>223</v>
      </c>
      <c r="L28" s="5">
        <v>9</v>
      </c>
      <c r="M28" s="5">
        <v>3</v>
      </c>
      <c r="N28" s="5" t="s">
        <v>3</v>
      </c>
      <c r="O28" s="5">
        <v>2</v>
      </c>
      <c r="P28" s="5">
        <v>0</v>
      </c>
    </row>
    <row r="29" spans="1:40">
      <c r="A29" s="5">
        <v>50</v>
      </c>
      <c r="B29" s="5">
        <v>0</v>
      </c>
      <c r="C29" s="5">
        <v>0</v>
      </c>
      <c r="D29" s="5">
        <v>1</v>
      </c>
      <c r="E29" s="5">
        <v>229</v>
      </c>
      <c r="F29" s="5">
        <v>0</v>
      </c>
      <c r="G29" s="5" t="s">
        <v>157</v>
      </c>
      <c r="H29" s="5" t="s">
        <v>158</v>
      </c>
      <c r="I29" s="5"/>
      <c r="J29" s="5"/>
      <c r="K29" s="5">
        <v>229</v>
      </c>
      <c r="L29" s="5">
        <v>10</v>
      </c>
      <c r="M29" s="5">
        <v>3</v>
      </c>
      <c r="N29" s="5" t="s">
        <v>3</v>
      </c>
      <c r="O29" s="5">
        <v>2</v>
      </c>
      <c r="P29" s="5">
        <v>0</v>
      </c>
    </row>
    <row r="30" spans="1:40">
      <c r="A30" s="5">
        <v>50</v>
      </c>
      <c r="B30" s="5">
        <v>0</v>
      </c>
      <c r="C30" s="5">
        <v>0</v>
      </c>
      <c r="D30" s="5">
        <v>1</v>
      </c>
      <c r="E30" s="5">
        <v>203</v>
      </c>
      <c r="F30" s="5">
        <v>8820.74</v>
      </c>
      <c r="G30" s="5" t="s">
        <v>159</v>
      </c>
      <c r="H30" s="5" t="s">
        <v>160</v>
      </c>
      <c r="I30" s="5"/>
      <c r="J30" s="5"/>
      <c r="K30" s="5">
        <v>203</v>
      </c>
      <c r="L30" s="5">
        <v>11</v>
      </c>
      <c r="M30" s="5">
        <v>3</v>
      </c>
      <c r="N30" s="5" t="s">
        <v>3</v>
      </c>
      <c r="O30" s="5">
        <v>2</v>
      </c>
      <c r="P30" s="5">
        <v>54776.78</v>
      </c>
    </row>
    <row r="31" spans="1:40">
      <c r="A31" s="5">
        <v>50</v>
      </c>
      <c r="B31" s="5">
        <v>0</v>
      </c>
      <c r="C31" s="5">
        <v>0</v>
      </c>
      <c r="D31" s="5">
        <v>1</v>
      </c>
      <c r="E31" s="5">
        <v>231</v>
      </c>
      <c r="F31" s="5">
        <v>0</v>
      </c>
      <c r="G31" s="5" t="s">
        <v>161</v>
      </c>
      <c r="H31" s="5" t="s">
        <v>162</v>
      </c>
      <c r="I31" s="5"/>
      <c r="J31" s="5"/>
      <c r="K31" s="5">
        <v>231</v>
      </c>
      <c r="L31" s="5">
        <v>12</v>
      </c>
      <c r="M31" s="5">
        <v>3</v>
      </c>
      <c r="N31" s="5" t="s">
        <v>3</v>
      </c>
      <c r="O31" s="5">
        <v>2</v>
      </c>
      <c r="P31" s="5">
        <v>0</v>
      </c>
    </row>
    <row r="32" spans="1:40">
      <c r="A32" s="5">
        <v>50</v>
      </c>
      <c r="B32" s="5">
        <v>0</v>
      </c>
      <c r="C32" s="5">
        <v>0</v>
      </c>
      <c r="D32" s="5">
        <v>1</v>
      </c>
      <c r="E32" s="5">
        <v>204</v>
      </c>
      <c r="F32" s="5">
        <v>547.05999999999995</v>
      </c>
      <c r="G32" s="5" t="s">
        <v>163</v>
      </c>
      <c r="H32" s="5" t="s">
        <v>164</v>
      </c>
      <c r="I32" s="5"/>
      <c r="J32" s="5"/>
      <c r="K32" s="5">
        <v>204</v>
      </c>
      <c r="L32" s="5">
        <v>13</v>
      </c>
      <c r="M32" s="5">
        <v>3</v>
      </c>
      <c r="N32" s="5" t="s">
        <v>3</v>
      </c>
      <c r="O32" s="5">
        <v>2</v>
      </c>
      <c r="P32" s="5">
        <v>8993.48</v>
      </c>
    </row>
    <row r="33" spans="1:16">
      <c r="A33" s="5">
        <v>50</v>
      </c>
      <c r="B33" s="5">
        <v>0</v>
      </c>
      <c r="C33" s="5">
        <v>0</v>
      </c>
      <c r="D33" s="5">
        <v>1</v>
      </c>
      <c r="E33" s="5">
        <v>205</v>
      </c>
      <c r="F33" s="5">
        <v>4365.47</v>
      </c>
      <c r="G33" s="5" t="s">
        <v>165</v>
      </c>
      <c r="H33" s="5" t="s">
        <v>166</v>
      </c>
      <c r="I33" s="5"/>
      <c r="J33" s="5"/>
      <c r="K33" s="5">
        <v>205</v>
      </c>
      <c r="L33" s="5">
        <v>14</v>
      </c>
      <c r="M33" s="5">
        <v>3</v>
      </c>
      <c r="N33" s="5" t="s">
        <v>3</v>
      </c>
      <c r="O33" s="5">
        <v>2</v>
      </c>
      <c r="P33" s="5">
        <v>71768.19</v>
      </c>
    </row>
    <row r="34" spans="1:16">
      <c r="A34" s="5">
        <v>50</v>
      </c>
      <c r="B34" s="5">
        <v>0</v>
      </c>
      <c r="C34" s="5">
        <v>0</v>
      </c>
      <c r="D34" s="5">
        <v>1</v>
      </c>
      <c r="E34" s="5">
        <v>232</v>
      </c>
      <c r="F34" s="5">
        <v>0</v>
      </c>
      <c r="G34" s="5" t="s">
        <v>167</v>
      </c>
      <c r="H34" s="5" t="s">
        <v>168</v>
      </c>
      <c r="I34" s="5"/>
      <c r="J34" s="5"/>
      <c r="K34" s="5">
        <v>232</v>
      </c>
      <c r="L34" s="5">
        <v>15</v>
      </c>
      <c r="M34" s="5">
        <v>3</v>
      </c>
      <c r="N34" s="5" t="s">
        <v>3</v>
      </c>
      <c r="O34" s="5">
        <v>2</v>
      </c>
      <c r="P34" s="5">
        <v>0</v>
      </c>
    </row>
    <row r="35" spans="1:16">
      <c r="A35" s="5">
        <v>50</v>
      </c>
      <c r="B35" s="5">
        <v>0</v>
      </c>
      <c r="C35" s="5">
        <v>0</v>
      </c>
      <c r="D35" s="5">
        <v>1</v>
      </c>
      <c r="E35" s="5">
        <v>214</v>
      </c>
      <c r="F35" s="5">
        <v>97947.93</v>
      </c>
      <c r="G35" s="5" t="s">
        <v>169</v>
      </c>
      <c r="H35" s="5" t="s">
        <v>170</v>
      </c>
      <c r="I35" s="5"/>
      <c r="J35" s="5"/>
      <c r="K35" s="5">
        <v>214</v>
      </c>
      <c r="L35" s="5">
        <v>16</v>
      </c>
      <c r="M35" s="5">
        <v>3</v>
      </c>
      <c r="N35" s="5" t="s">
        <v>3</v>
      </c>
      <c r="O35" s="5">
        <v>2</v>
      </c>
      <c r="P35" s="5">
        <v>1146766.1100000001</v>
      </c>
    </row>
    <row r="36" spans="1:16">
      <c r="A36" s="5">
        <v>50</v>
      </c>
      <c r="B36" s="5">
        <v>0</v>
      </c>
      <c r="C36" s="5">
        <v>0</v>
      </c>
      <c r="D36" s="5">
        <v>1</v>
      </c>
      <c r="E36" s="5">
        <v>215</v>
      </c>
      <c r="F36" s="5">
        <v>0</v>
      </c>
      <c r="G36" s="5" t="s">
        <v>171</v>
      </c>
      <c r="H36" s="5" t="s">
        <v>172</v>
      </c>
      <c r="I36" s="5"/>
      <c r="J36" s="5"/>
      <c r="K36" s="5">
        <v>215</v>
      </c>
      <c r="L36" s="5">
        <v>17</v>
      </c>
      <c r="M36" s="5">
        <v>3</v>
      </c>
      <c r="N36" s="5" t="s">
        <v>3</v>
      </c>
      <c r="O36" s="5">
        <v>2</v>
      </c>
      <c r="P36" s="5">
        <v>0</v>
      </c>
    </row>
    <row r="37" spans="1:16">
      <c r="A37" s="5">
        <v>50</v>
      </c>
      <c r="B37" s="5">
        <v>0</v>
      </c>
      <c r="C37" s="5">
        <v>0</v>
      </c>
      <c r="D37" s="5">
        <v>1</v>
      </c>
      <c r="E37" s="5">
        <v>217</v>
      </c>
      <c r="F37" s="5">
        <v>0</v>
      </c>
      <c r="G37" s="5" t="s">
        <v>173</v>
      </c>
      <c r="H37" s="5" t="s">
        <v>174</v>
      </c>
      <c r="I37" s="5"/>
      <c r="J37" s="5"/>
      <c r="K37" s="5">
        <v>217</v>
      </c>
      <c r="L37" s="5">
        <v>18</v>
      </c>
      <c r="M37" s="5">
        <v>3</v>
      </c>
      <c r="N37" s="5" t="s">
        <v>3</v>
      </c>
      <c r="O37" s="5">
        <v>2</v>
      </c>
      <c r="P37" s="5">
        <v>0</v>
      </c>
    </row>
    <row r="38" spans="1:16">
      <c r="A38" s="5">
        <v>50</v>
      </c>
      <c r="B38" s="5">
        <v>0</v>
      </c>
      <c r="C38" s="5">
        <v>0</v>
      </c>
      <c r="D38" s="5">
        <v>1</v>
      </c>
      <c r="E38" s="5">
        <v>230</v>
      </c>
      <c r="F38" s="5">
        <v>0</v>
      </c>
      <c r="G38" s="5" t="s">
        <v>175</v>
      </c>
      <c r="H38" s="5" t="s">
        <v>176</v>
      </c>
      <c r="I38" s="5"/>
      <c r="J38" s="5"/>
      <c r="K38" s="5">
        <v>230</v>
      </c>
      <c r="L38" s="5">
        <v>19</v>
      </c>
      <c r="M38" s="5">
        <v>3</v>
      </c>
      <c r="N38" s="5" t="s">
        <v>3</v>
      </c>
      <c r="O38" s="5">
        <v>2</v>
      </c>
      <c r="P38" s="5">
        <v>0</v>
      </c>
    </row>
    <row r="39" spans="1:16">
      <c r="A39" s="5">
        <v>50</v>
      </c>
      <c r="B39" s="5">
        <v>0</v>
      </c>
      <c r="C39" s="5">
        <v>0</v>
      </c>
      <c r="D39" s="5">
        <v>1</v>
      </c>
      <c r="E39" s="5">
        <v>206</v>
      </c>
      <c r="F39" s="5">
        <v>0</v>
      </c>
      <c r="G39" s="5" t="s">
        <v>177</v>
      </c>
      <c r="H39" s="5" t="s">
        <v>178</v>
      </c>
      <c r="I39" s="5"/>
      <c r="J39" s="5"/>
      <c r="K39" s="5">
        <v>206</v>
      </c>
      <c r="L39" s="5">
        <v>20</v>
      </c>
      <c r="M39" s="5">
        <v>3</v>
      </c>
      <c r="N39" s="5" t="s">
        <v>3</v>
      </c>
      <c r="O39" s="5">
        <v>2</v>
      </c>
      <c r="P39" s="5">
        <v>0</v>
      </c>
    </row>
    <row r="40" spans="1:16">
      <c r="A40" s="5">
        <v>50</v>
      </c>
      <c r="B40" s="5">
        <v>0</v>
      </c>
      <c r="C40" s="5">
        <v>0</v>
      </c>
      <c r="D40" s="5">
        <v>1</v>
      </c>
      <c r="E40" s="5">
        <v>207</v>
      </c>
      <c r="F40" s="5">
        <v>656.96214964000001</v>
      </c>
      <c r="G40" s="5" t="s">
        <v>179</v>
      </c>
      <c r="H40" s="5" t="s">
        <v>180</v>
      </c>
      <c r="I40" s="5"/>
      <c r="J40" s="5"/>
      <c r="K40" s="5">
        <v>207</v>
      </c>
      <c r="L40" s="5">
        <v>21</v>
      </c>
      <c r="M40" s="5">
        <v>3</v>
      </c>
      <c r="N40" s="5" t="s">
        <v>3</v>
      </c>
      <c r="O40" s="5">
        <v>-1</v>
      </c>
      <c r="P40" s="5">
        <v>656.96214964000001</v>
      </c>
    </row>
    <row r="41" spans="1:16">
      <c r="A41" s="5">
        <v>50</v>
      </c>
      <c r="B41" s="5">
        <v>0</v>
      </c>
      <c r="C41" s="5">
        <v>0</v>
      </c>
      <c r="D41" s="5">
        <v>1</v>
      </c>
      <c r="E41" s="5">
        <v>208</v>
      </c>
      <c r="F41" s="5">
        <v>45.324802749999996</v>
      </c>
      <c r="G41" s="5" t="s">
        <v>181</v>
      </c>
      <c r="H41" s="5" t="s">
        <v>182</v>
      </c>
      <c r="I41" s="5"/>
      <c r="J41" s="5"/>
      <c r="K41" s="5">
        <v>208</v>
      </c>
      <c r="L41" s="5">
        <v>22</v>
      </c>
      <c r="M41" s="5">
        <v>3</v>
      </c>
      <c r="N41" s="5" t="s">
        <v>3</v>
      </c>
      <c r="O41" s="5">
        <v>-1</v>
      </c>
      <c r="P41" s="5">
        <v>45.324802749999996</v>
      </c>
    </row>
    <row r="42" spans="1:16">
      <c r="A42" s="5">
        <v>50</v>
      </c>
      <c r="B42" s="5">
        <v>0</v>
      </c>
      <c r="C42" s="5">
        <v>0</v>
      </c>
      <c r="D42" s="5">
        <v>1</v>
      </c>
      <c r="E42" s="5">
        <v>209</v>
      </c>
      <c r="F42" s="5">
        <v>0</v>
      </c>
      <c r="G42" s="5" t="s">
        <v>183</v>
      </c>
      <c r="H42" s="5" t="s">
        <v>184</v>
      </c>
      <c r="I42" s="5"/>
      <c r="J42" s="5"/>
      <c r="K42" s="5">
        <v>209</v>
      </c>
      <c r="L42" s="5">
        <v>23</v>
      </c>
      <c r="M42" s="5">
        <v>3</v>
      </c>
      <c r="N42" s="5" t="s">
        <v>3</v>
      </c>
      <c r="O42" s="5">
        <v>2</v>
      </c>
      <c r="P42" s="5">
        <v>0</v>
      </c>
    </row>
    <row r="43" spans="1:16">
      <c r="A43" s="5">
        <v>50</v>
      </c>
      <c r="B43" s="5">
        <v>0</v>
      </c>
      <c r="C43" s="5">
        <v>0</v>
      </c>
      <c r="D43" s="5">
        <v>1</v>
      </c>
      <c r="E43" s="5">
        <v>210</v>
      </c>
      <c r="F43" s="5">
        <v>6164.49</v>
      </c>
      <c r="G43" s="5" t="s">
        <v>185</v>
      </c>
      <c r="H43" s="5" t="s">
        <v>186</v>
      </c>
      <c r="I43" s="5"/>
      <c r="J43" s="5"/>
      <c r="K43" s="5">
        <v>210</v>
      </c>
      <c r="L43" s="5">
        <v>24</v>
      </c>
      <c r="M43" s="5">
        <v>3</v>
      </c>
      <c r="N43" s="5" t="s">
        <v>3</v>
      </c>
      <c r="O43" s="5">
        <v>2</v>
      </c>
      <c r="P43" s="5">
        <v>86240.98</v>
      </c>
    </row>
    <row r="44" spans="1:16">
      <c r="A44" s="5">
        <v>50</v>
      </c>
      <c r="B44" s="5">
        <v>0</v>
      </c>
      <c r="C44" s="5">
        <v>0</v>
      </c>
      <c r="D44" s="5">
        <v>1</v>
      </c>
      <c r="E44" s="5">
        <v>211</v>
      </c>
      <c r="F44" s="5">
        <v>3580.09</v>
      </c>
      <c r="G44" s="5" t="s">
        <v>187</v>
      </c>
      <c r="H44" s="5" t="s">
        <v>188</v>
      </c>
      <c r="I44" s="5"/>
      <c r="J44" s="5"/>
      <c r="K44" s="5">
        <v>211</v>
      </c>
      <c r="L44" s="5">
        <v>25</v>
      </c>
      <c r="M44" s="5">
        <v>3</v>
      </c>
      <c r="N44" s="5" t="s">
        <v>3</v>
      </c>
      <c r="O44" s="5">
        <v>2</v>
      </c>
      <c r="P44" s="5">
        <v>47121.599999999999</v>
      </c>
    </row>
    <row r="45" spans="1:16">
      <c r="A45" s="5">
        <v>50</v>
      </c>
      <c r="B45" s="5">
        <v>0</v>
      </c>
      <c r="C45" s="5">
        <v>0</v>
      </c>
      <c r="D45" s="5">
        <v>1</v>
      </c>
      <c r="E45" s="5">
        <v>224</v>
      </c>
      <c r="F45" s="5">
        <v>97947.93</v>
      </c>
      <c r="G45" s="5" t="s">
        <v>189</v>
      </c>
      <c r="H45" s="5" t="s">
        <v>190</v>
      </c>
      <c r="I45" s="5"/>
      <c r="J45" s="5"/>
      <c r="K45" s="5">
        <v>224</v>
      </c>
      <c r="L45" s="5">
        <v>26</v>
      </c>
      <c r="M45" s="5">
        <v>3</v>
      </c>
      <c r="N45" s="5" t="s">
        <v>3</v>
      </c>
      <c r="O45" s="5">
        <v>2</v>
      </c>
      <c r="P45" s="5">
        <v>1146766.1100000001</v>
      </c>
    </row>
    <row r="47" spans="1:16">
      <c r="A47">
        <v>-1</v>
      </c>
    </row>
    <row r="50" spans="1:34">
      <c r="A50" s="4">
        <v>75</v>
      </c>
      <c r="B50" s="4" t="s">
        <v>257</v>
      </c>
      <c r="C50" s="4">
        <v>2000</v>
      </c>
      <c r="D50" s="4">
        <v>0</v>
      </c>
      <c r="E50" s="4">
        <v>1</v>
      </c>
      <c r="F50" s="4"/>
      <c r="G50" s="4">
        <v>0</v>
      </c>
      <c r="H50" s="4">
        <v>1</v>
      </c>
      <c r="I50" s="4">
        <v>0</v>
      </c>
      <c r="J50" s="4">
        <v>3</v>
      </c>
      <c r="K50" s="4">
        <v>0</v>
      </c>
      <c r="L50" s="4">
        <v>0</v>
      </c>
      <c r="M50" s="4">
        <v>0</v>
      </c>
      <c r="N50" s="4">
        <v>34847864</v>
      </c>
      <c r="O50" s="4">
        <v>1</v>
      </c>
    </row>
    <row r="51" spans="1:34">
      <c r="A51" s="4">
        <v>75</v>
      </c>
      <c r="B51" s="4" t="s">
        <v>258</v>
      </c>
      <c r="C51" s="4">
        <v>2018</v>
      </c>
      <c r="D51" s="4">
        <v>1</v>
      </c>
      <c r="E51" s="4">
        <v>0</v>
      </c>
      <c r="F51" s="4"/>
      <c r="G51" s="4">
        <v>0</v>
      </c>
      <c r="H51" s="4">
        <v>1</v>
      </c>
      <c r="I51" s="4">
        <v>0</v>
      </c>
      <c r="J51" s="4">
        <v>3</v>
      </c>
      <c r="K51" s="4">
        <v>0</v>
      </c>
      <c r="L51" s="4">
        <v>0</v>
      </c>
      <c r="M51" s="4">
        <v>1</v>
      </c>
      <c r="N51" s="4">
        <v>34847877</v>
      </c>
      <c r="O51" s="4">
        <v>2</v>
      </c>
    </row>
    <row r="52" spans="1:34">
      <c r="A52" s="6">
        <v>3</v>
      </c>
      <c r="B52" s="6" t="s">
        <v>259</v>
      </c>
      <c r="C52" s="6">
        <v>1</v>
      </c>
      <c r="D52" s="6">
        <v>5.9</v>
      </c>
      <c r="E52" s="6">
        <v>6.21</v>
      </c>
      <c r="F52" s="6">
        <v>16.440000000000001</v>
      </c>
      <c r="G52" s="6">
        <v>16.440000000000001</v>
      </c>
      <c r="H52" s="6">
        <v>1</v>
      </c>
      <c r="I52" s="6">
        <v>1</v>
      </c>
      <c r="J52" s="6">
        <v>2</v>
      </c>
      <c r="K52" s="6">
        <v>1</v>
      </c>
      <c r="L52" s="6">
        <v>6.21</v>
      </c>
      <c r="M52" s="6">
        <v>1</v>
      </c>
      <c r="N52" s="6">
        <v>5.9</v>
      </c>
      <c r="O52" s="6">
        <v>1</v>
      </c>
      <c r="P52" s="6">
        <v>1</v>
      </c>
      <c r="Q52" s="6">
        <v>1</v>
      </c>
      <c r="R52" s="6">
        <v>6.21</v>
      </c>
      <c r="S52" s="6" t="s">
        <v>3</v>
      </c>
      <c r="T52" s="6" t="s">
        <v>3</v>
      </c>
      <c r="U52" s="6" t="s">
        <v>3</v>
      </c>
      <c r="V52" s="6" t="s">
        <v>3</v>
      </c>
      <c r="W52" s="6" t="s">
        <v>3</v>
      </c>
      <c r="X52" s="6" t="s">
        <v>3</v>
      </c>
      <c r="Y52" s="6" t="s">
        <v>3</v>
      </c>
      <c r="Z52" s="6" t="s">
        <v>3</v>
      </c>
      <c r="AA52" s="6" t="s">
        <v>3</v>
      </c>
      <c r="AB52" s="6" t="s">
        <v>3</v>
      </c>
      <c r="AC52" s="6" t="s">
        <v>3</v>
      </c>
      <c r="AD52" s="6" t="s">
        <v>3</v>
      </c>
      <c r="AE52" s="6" t="s">
        <v>3</v>
      </c>
      <c r="AF52" s="6" t="s">
        <v>3</v>
      </c>
      <c r="AG52" s="6" t="s">
        <v>3</v>
      </c>
      <c r="AH52" s="6" t="s">
        <v>3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B118"/>
  <sheetViews>
    <sheetView workbookViewId="0"/>
  </sheetViews>
  <sheetFormatPr defaultColWidth="9.140625" defaultRowHeight="12.75"/>
  <cols>
    <col min="1" max="256" width="9.140625" customWidth="1"/>
  </cols>
  <sheetData>
    <row r="1" spans="1:106">
      <c r="A1">
        <f>ROW(Source!A24)</f>
        <v>24</v>
      </c>
      <c r="B1">
        <v>34847864</v>
      </c>
      <c r="C1">
        <v>34847951</v>
      </c>
      <c r="D1">
        <v>24225547</v>
      </c>
      <c r="E1">
        <v>1</v>
      </c>
      <c r="F1">
        <v>1</v>
      </c>
      <c r="G1">
        <v>1</v>
      </c>
      <c r="H1">
        <v>1</v>
      </c>
      <c r="I1" t="s">
        <v>261</v>
      </c>
      <c r="J1" t="s">
        <v>3</v>
      </c>
      <c r="K1" t="s">
        <v>262</v>
      </c>
      <c r="L1">
        <v>1476</v>
      </c>
      <c r="N1">
        <v>1013</v>
      </c>
      <c r="O1" t="s">
        <v>263</v>
      </c>
      <c r="P1" t="s">
        <v>264</v>
      </c>
      <c r="Q1">
        <v>1</v>
      </c>
      <c r="W1">
        <v>0</v>
      </c>
      <c r="X1">
        <v>-662630881</v>
      </c>
      <c r="Y1">
        <v>68.260000000000005</v>
      </c>
      <c r="AA1">
        <v>0</v>
      </c>
      <c r="AB1">
        <v>0</v>
      </c>
      <c r="AC1">
        <v>0</v>
      </c>
      <c r="AD1">
        <v>7.03</v>
      </c>
      <c r="AE1">
        <v>0</v>
      </c>
      <c r="AF1">
        <v>0</v>
      </c>
      <c r="AG1">
        <v>0</v>
      </c>
      <c r="AH1">
        <v>7.03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68.260000000000005</v>
      </c>
      <c r="AU1" t="s">
        <v>3</v>
      </c>
      <c r="AV1">
        <v>1</v>
      </c>
      <c r="AW1">
        <v>2</v>
      </c>
      <c r="AX1">
        <v>34847952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70.3078</v>
      </c>
      <c r="CY1">
        <f>AD1</f>
        <v>7.03</v>
      </c>
      <c r="CZ1">
        <f>AH1</f>
        <v>7.03</v>
      </c>
      <c r="DA1">
        <f>AL1</f>
        <v>1</v>
      </c>
      <c r="DB1">
        <v>0</v>
      </c>
    </row>
    <row r="2" spans="1:106">
      <c r="A2">
        <f>ROW(Source!A24)</f>
        <v>24</v>
      </c>
      <c r="B2">
        <v>34847864</v>
      </c>
      <c r="C2">
        <v>34847951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23</v>
      </c>
      <c r="J2" t="s">
        <v>3</v>
      </c>
      <c r="K2" t="s">
        <v>265</v>
      </c>
      <c r="L2">
        <v>608254</v>
      </c>
      <c r="N2">
        <v>1013</v>
      </c>
      <c r="O2" t="s">
        <v>266</v>
      </c>
      <c r="P2" t="s">
        <v>266</v>
      </c>
      <c r="Q2">
        <v>1</v>
      </c>
      <c r="W2">
        <v>0</v>
      </c>
      <c r="X2">
        <v>-185737400</v>
      </c>
      <c r="Y2">
        <v>9.4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9.4</v>
      </c>
      <c r="AU2" t="s">
        <v>3</v>
      </c>
      <c r="AV2">
        <v>2</v>
      </c>
      <c r="AW2">
        <v>2</v>
      </c>
      <c r="AX2">
        <v>34847953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9.6820000000000004</v>
      </c>
      <c r="CY2">
        <f>AD2</f>
        <v>0</v>
      </c>
      <c r="CZ2">
        <f>AH2</f>
        <v>0</v>
      </c>
      <c r="DA2">
        <f>AL2</f>
        <v>1</v>
      </c>
      <c r="DB2">
        <v>0</v>
      </c>
    </row>
    <row r="3" spans="1:106">
      <c r="A3">
        <f>ROW(Source!A24)</f>
        <v>24</v>
      </c>
      <c r="B3">
        <v>34847864</v>
      </c>
      <c r="C3">
        <v>34847951</v>
      </c>
      <c r="D3">
        <v>26554068</v>
      </c>
      <c r="E3">
        <v>1</v>
      </c>
      <c r="F3">
        <v>1</v>
      </c>
      <c r="G3">
        <v>1</v>
      </c>
      <c r="H3">
        <v>2</v>
      </c>
      <c r="I3" t="s">
        <v>267</v>
      </c>
      <c r="J3" t="s">
        <v>268</v>
      </c>
      <c r="K3" t="s">
        <v>269</v>
      </c>
      <c r="L3">
        <v>26553684</v>
      </c>
      <c r="N3">
        <v>1013</v>
      </c>
      <c r="O3" t="s">
        <v>270</v>
      </c>
      <c r="P3" t="s">
        <v>270</v>
      </c>
      <c r="Q3">
        <v>1</v>
      </c>
      <c r="W3">
        <v>0</v>
      </c>
      <c r="X3">
        <v>-845897375</v>
      </c>
      <c r="Y3">
        <v>9.4</v>
      </c>
      <c r="AA3">
        <v>0</v>
      </c>
      <c r="AB3">
        <v>89.82</v>
      </c>
      <c r="AC3">
        <v>9.8800000000000008</v>
      </c>
      <c r="AD3">
        <v>0</v>
      </c>
      <c r="AE3">
        <v>0</v>
      </c>
      <c r="AF3">
        <v>89.82</v>
      </c>
      <c r="AG3">
        <v>9.8800000000000008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9.4</v>
      </c>
      <c r="AU3" t="s">
        <v>3</v>
      </c>
      <c r="AV3">
        <v>0</v>
      </c>
      <c r="AW3">
        <v>2</v>
      </c>
      <c r="AX3">
        <v>34847954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9.6820000000000004</v>
      </c>
      <c r="CY3">
        <f>AB3</f>
        <v>89.82</v>
      </c>
      <c r="CZ3">
        <f>AF3</f>
        <v>89.82</v>
      </c>
      <c r="DA3">
        <f>AJ3</f>
        <v>1</v>
      </c>
      <c r="DB3">
        <v>0</v>
      </c>
    </row>
    <row r="4" spans="1:106">
      <c r="A4">
        <f>ROW(Source!A24)</f>
        <v>24</v>
      </c>
      <c r="B4">
        <v>34847864</v>
      </c>
      <c r="C4">
        <v>34847951</v>
      </c>
      <c r="D4">
        <v>26555456</v>
      </c>
      <c r="E4">
        <v>1</v>
      </c>
      <c r="F4">
        <v>1</v>
      </c>
      <c r="G4">
        <v>1</v>
      </c>
      <c r="H4">
        <v>2</v>
      </c>
      <c r="I4" t="s">
        <v>271</v>
      </c>
      <c r="J4" t="s">
        <v>272</v>
      </c>
      <c r="K4" t="s">
        <v>273</v>
      </c>
      <c r="L4">
        <v>26553684</v>
      </c>
      <c r="N4">
        <v>1013</v>
      </c>
      <c r="O4" t="s">
        <v>270</v>
      </c>
      <c r="P4" t="s">
        <v>270</v>
      </c>
      <c r="Q4">
        <v>1</v>
      </c>
      <c r="W4">
        <v>0</v>
      </c>
      <c r="X4">
        <v>652181876</v>
      </c>
      <c r="Y4">
        <v>28.2</v>
      </c>
      <c r="AA4">
        <v>0</v>
      </c>
      <c r="AB4">
        <v>1.53</v>
      </c>
      <c r="AC4">
        <v>0</v>
      </c>
      <c r="AD4">
        <v>0</v>
      </c>
      <c r="AE4">
        <v>0</v>
      </c>
      <c r="AF4">
        <v>1.53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28.2</v>
      </c>
      <c r="AU4" t="s">
        <v>3</v>
      </c>
      <c r="AV4">
        <v>0</v>
      </c>
      <c r="AW4">
        <v>2</v>
      </c>
      <c r="AX4">
        <v>34847955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29.045999999999999</v>
      </c>
      <c r="CY4">
        <f>AB4</f>
        <v>1.53</v>
      </c>
      <c r="CZ4">
        <f>AF4</f>
        <v>1.53</v>
      </c>
      <c r="DA4">
        <f>AJ4</f>
        <v>1</v>
      </c>
      <c r="DB4">
        <v>0</v>
      </c>
    </row>
    <row r="5" spans="1:106">
      <c r="A5">
        <f>ROW(Source!A25)</f>
        <v>25</v>
      </c>
      <c r="B5">
        <v>34847877</v>
      </c>
      <c r="C5">
        <v>34847951</v>
      </c>
      <c r="D5">
        <v>24225547</v>
      </c>
      <c r="E5">
        <v>1</v>
      </c>
      <c r="F5">
        <v>1</v>
      </c>
      <c r="G5">
        <v>1</v>
      </c>
      <c r="H5">
        <v>1</v>
      </c>
      <c r="I5" t="s">
        <v>261</v>
      </c>
      <c r="J5" t="s">
        <v>3</v>
      </c>
      <c r="K5" t="s">
        <v>262</v>
      </c>
      <c r="L5">
        <v>1476</v>
      </c>
      <c r="N5">
        <v>1013</v>
      </c>
      <c r="O5" t="s">
        <v>263</v>
      </c>
      <c r="P5" t="s">
        <v>264</v>
      </c>
      <c r="Q5">
        <v>1</v>
      </c>
      <c r="W5">
        <v>0</v>
      </c>
      <c r="X5">
        <v>-662630881</v>
      </c>
      <c r="Y5">
        <v>68.260000000000005</v>
      </c>
      <c r="AA5">
        <v>0</v>
      </c>
      <c r="AB5">
        <v>0</v>
      </c>
      <c r="AC5">
        <v>0</v>
      </c>
      <c r="AD5">
        <v>115.57</v>
      </c>
      <c r="AE5">
        <v>0</v>
      </c>
      <c r="AF5">
        <v>0</v>
      </c>
      <c r="AG5">
        <v>0</v>
      </c>
      <c r="AH5">
        <v>7.03</v>
      </c>
      <c r="AI5">
        <v>1</v>
      </c>
      <c r="AJ5">
        <v>1</v>
      </c>
      <c r="AK5">
        <v>1</v>
      </c>
      <c r="AL5">
        <v>16.440000000000001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68.260000000000005</v>
      </c>
      <c r="AU5" t="s">
        <v>3</v>
      </c>
      <c r="AV5">
        <v>1</v>
      </c>
      <c r="AW5">
        <v>2</v>
      </c>
      <c r="AX5">
        <v>34847952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Y5*Source!I25</f>
        <v>70.3078</v>
      </c>
      <c r="CY5">
        <f>AD5</f>
        <v>115.57</v>
      </c>
      <c r="CZ5">
        <f>AH5</f>
        <v>7.03</v>
      </c>
      <c r="DA5">
        <f>AL5</f>
        <v>16.440000000000001</v>
      </c>
      <c r="DB5">
        <v>0</v>
      </c>
    </row>
    <row r="6" spans="1:106">
      <c r="A6">
        <f>ROW(Source!A25)</f>
        <v>25</v>
      </c>
      <c r="B6">
        <v>34847877</v>
      </c>
      <c r="C6">
        <v>34847951</v>
      </c>
      <c r="D6">
        <v>121548</v>
      </c>
      <c r="E6">
        <v>1</v>
      </c>
      <c r="F6">
        <v>1</v>
      </c>
      <c r="G6">
        <v>1</v>
      </c>
      <c r="H6">
        <v>1</v>
      </c>
      <c r="I6" t="s">
        <v>23</v>
      </c>
      <c r="J6" t="s">
        <v>3</v>
      </c>
      <c r="K6" t="s">
        <v>265</v>
      </c>
      <c r="L6">
        <v>608254</v>
      </c>
      <c r="N6">
        <v>1013</v>
      </c>
      <c r="O6" t="s">
        <v>266</v>
      </c>
      <c r="P6" t="s">
        <v>266</v>
      </c>
      <c r="Q6">
        <v>1</v>
      </c>
      <c r="W6">
        <v>0</v>
      </c>
      <c r="X6">
        <v>-185737400</v>
      </c>
      <c r="Y6">
        <v>9.4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16.440000000000001</v>
      </c>
      <c r="AL6">
        <v>1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9.4</v>
      </c>
      <c r="AU6" t="s">
        <v>3</v>
      </c>
      <c r="AV6">
        <v>2</v>
      </c>
      <c r="AW6">
        <v>2</v>
      </c>
      <c r="AX6">
        <v>34847953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Y6*Source!I25</f>
        <v>9.6820000000000004</v>
      </c>
      <c r="CY6">
        <f>AD6</f>
        <v>0</v>
      </c>
      <c r="CZ6">
        <f>AH6</f>
        <v>0</v>
      </c>
      <c r="DA6">
        <f>AL6</f>
        <v>1</v>
      </c>
      <c r="DB6">
        <v>0</v>
      </c>
    </row>
    <row r="7" spans="1:106">
      <c r="A7">
        <f>ROW(Source!A25)</f>
        <v>25</v>
      </c>
      <c r="B7">
        <v>34847877</v>
      </c>
      <c r="C7">
        <v>34847951</v>
      </c>
      <c r="D7">
        <v>26554068</v>
      </c>
      <c r="E7">
        <v>1</v>
      </c>
      <c r="F7">
        <v>1</v>
      </c>
      <c r="G7">
        <v>1</v>
      </c>
      <c r="H7">
        <v>2</v>
      </c>
      <c r="I7" t="s">
        <v>267</v>
      </c>
      <c r="J7" t="s">
        <v>268</v>
      </c>
      <c r="K7" t="s">
        <v>269</v>
      </c>
      <c r="L7">
        <v>26553684</v>
      </c>
      <c r="N7">
        <v>1013</v>
      </c>
      <c r="O7" t="s">
        <v>270</v>
      </c>
      <c r="P7" t="s">
        <v>270</v>
      </c>
      <c r="Q7">
        <v>1</v>
      </c>
      <c r="W7">
        <v>0</v>
      </c>
      <c r="X7">
        <v>-845897375</v>
      </c>
      <c r="Y7">
        <v>9.4</v>
      </c>
      <c r="AA7">
        <v>0</v>
      </c>
      <c r="AB7">
        <v>557.78</v>
      </c>
      <c r="AC7">
        <v>162.43</v>
      </c>
      <c r="AD7">
        <v>0</v>
      </c>
      <c r="AE7">
        <v>0</v>
      </c>
      <c r="AF7">
        <v>89.82</v>
      </c>
      <c r="AG7">
        <v>9.8800000000000008</v>
      </c>
      <c r="AH7">
        <v>0</v>
      </c>
      <c r="AI7">
        <v>1</v>
      </c>
      <c r="AJ7">
        <v>6.21</v>
      </c>
      <c r="AK7">
        <v>16.440000000000001</v>
      </c>
      <c r="AL7">
        <v>1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9.4</v>
      </c>
      <c r="AU7" t="s">
        <v>3</v>
      </c>
      <c r="AV7">
        <v>0</v>
      </c>
      <c r="AW7">
        <v>2</v>
      </c>
      <c r="AX7">
        <v>34847954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Y7*Source!I25</f>
        <v>9.6820000000000004</v>
      </c>
      <c r="CY7">
        <f>AB7</f>
        <v>557.78</v>
      </c>
      <c r="CZ7">
        <f>AF7</f>
        <v>89.82</v>
      </c>
      <c r="DA7">
        <f>AJ7</f>
        <v>6.21</v>
      </c>
      <c r="DB7">
        <v>0</v>
      </c>
    </row>
    <row r="8" spans="1:106">
      <c r="A8">
        <f>ROW(Source!A25)</f>
        <v>25</v>
      </c>
      <c r="B8">
        <v>34847877</v>
      </c>
      <c r="C8">
        <v>34847951</v>
      </c>
      <c r="D8">
        <v>26555456</v>
      </c>
      <c r="E8">
        <v>1</v>
      </c>
      <c r="F8">
        <v>1</v>
      </c>
      <c r="G8">
        <v>1</v>
      </c>
      <c r="H8">
        <v>2</v>
      </c>
      <c r="I8" t="s">
        <v>271</v>
      </c>
      <c r="J8" t="s">
        <v>272</v>
      </c>
      <c r="K8" t="s">
        <v>273</v>
      </c>
      <c r="L8">
        <v>26553684</v>
      </c>
      <c r="N8">
        <v>1013</v>
      </c>
      <c r="O8" t="s">
        <v>270</v>
      </c>
      <c r="P8" t="s">
        <v>270</v>
      </c>
      <c r="Q8">
        <v>1</v>
      </c>
      <c r="W8">
        <v>0</v>
      </c>
      <c r="X8">
        <v>652181876</v>
      </c>
      <c r="Y8">
        <v>28.2</v>
      </c>
      <c r="AA8">
        <v>0</v>
      </c>
      <c r="AB8">
        <v>9.5</v>
      </c>
      <c r="AC8">
        <v>0</v>
      </c>
      <c r="AD8">
        <v>0</v>
      </c>
      <c r="AE8">
        <v>0</v>
      </c>
      <c r="AF8">
        <v>1.53</v>
      </c>
      <c r="AG8">
        <v>0</v>
      </c>
      <c r="AH8">
        <v>0</v>
      </c>
      <c r="AI8">
        <v>1</v>
      </c>
      <c r="AJ8">
        <v>6.21</v>
      </c>
      <c r="AK8">
        <v>16.440000000000001</v>
      </c>
      <c r="AL8">
        <v>1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28.2</v>
      </c>
      <c r="AU8" t="s">
        <v>3</v>
      </c>
      <c r="AV8">
        <v>0</v>
      </c>
      <c r="AW8">
        <v>2</v>
      </c>
      <c r="AX8">
        <v>34847955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Y8*Source!I25</f>
        <v>29.045999999999999</v>
      </c>
      <c r="CY8">
        <f>AB8</f>
        <v>9.5</v>
      </c>
      <c r="CZ8">
        <f>AF8</f>
        <v>1.53</v>
      </c>
      <c r="DA8">
        <f>AJ8</f>
        <v>6.21</v>
      </c>
      <c r="DB8">
        <v>0</v>
      </c>
    </row>
    <row r="9" spans="1:106">
      <c r="A9">
        <f>ROW(Source!A26)</f>
        <v>26</v>
      </c>
      <c r="B9">
        <v>34847864</v>
      </c>
      <c r="C9">
        <v>34847973</v>
      </c>
      <c r="D9">
        <v>24234206</v>
      </c>
      <c r="E9">
        <v>1</v>
      </c>
      <c r="F9">
        <v>1</v>
      </c>
      <c r="G9">
        <v>1</v>
      </c>
      <c r="H9">
        <v>1</v>
      </c>
      <c r="I9" t="s">
        <v>274</v>
      </c>
      <c r="J9" t="s">
        <v>3</v>
      </c>
      <c r="K9" t="s">
        <v>275</v>
      </c>
      <c r="L9">
        <v>1476</v>
      </c>
      <c r="N9">
        <v>1013</v>
      </c>
      <c r="O9" t="s">
        <v>263</v>
      </c>
      <c r="P9" t="s">
        <v>264</v>
      </c>
      <c r="Q9">
        <v>1</v>
      </c>
      <c r="W9">
        <v>0</v>
      </c>
      <c r="X9">
        <v>1476272216</v>
      </c>
      <c r="Y9">
        <v>18.68</v>
      </c>
      <c r="AA9">
        <v>0</v>
      </c>
      <c r="AB9">
        <v>0</v>
      </c>
      <c r="AC9">
        <v>0</v>
      </c>
      <c r="AD9">
        <v>6.2</v>
      </c>
      <c r="AE9">
        <v>0</v>
      </c>
      <c r="AF9">
        <v>0</v>
      </c>
      <c r="AG9">
        <v>0</v>
      </c>
      <c r="AH9">
        <v>6.2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18.68</v>
      </c>
      <c r="AU9" t="s">
        <v>3</v>
      </c>
      <c r="AV9">
        <v>1</v>
      </c>
      <c r="AW9">
        <v>2</v>
      </c>
      <c r="AX9">
        <v>34847974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78.50269999999999</v>
      </c>
      <c r="CY9">
        <f>AD9</f>
        <v>6.2</v>
      </c>
      <c r="CZ9">
        <f>AH9</f>
        <v>6.2</v>
      </c>
      <c r="DA9">
        <f>AL9</f>
        <v>1</v>
      </c>
      <c r="DB9">
        <v>0</v>
      </c>
    </row>
    <row r="10" spans="1:106">
      <c r="A10">
        <f>ROW(Source!A27)</f>
        <v>27</v>
      </c>
      <c r="B10">
        <v>34847877</v>
      </c>
      <c r="C10">
        <v>34847973</v>
      </c>
      <c r="D10">
        <v>24234206</v>
      </c>
      <c r="E10">
        <v>1</v>
      </c>
      <c r="F10">
        <v>1</v>
      </c>
      <c r="G10">
        <v>1</v>
      </c>
      <c r="H10">
        <v>1</v>
      </c>
      <c r="I10" t="s">
        <v>274</v>
      </c>
      <c r="J10" t="s">
        <v>3</v>
      </c>
      <c r="K10" t="s">
        <v>275</v>
      </c>
      <c r="L10">
        <v>1476</v>
      </c>
      <c r="N10">
        <v>1013</v>
      </c>
      <c r="O10" t="s">
        <v>263</v>
      </c>
      <c r="P10" t="s">
        <v>264</v>
      </c>
      <c r="Q10">
        <v>1</v>
      </c>
      <c r="W10">
        <v>0</v>
      </c>
      <c r="X10">
        <v>1476272216</v>
      </c>
      <c r="Y10">
        <v>18.68</v>
      </c>
      <c r="AA10">
        <v>0</v>
      </c>
      <c r="AB10">
        <v>0</v>
      </c>
      <c r="AC10">
        <v>0</v>
      </c>
      <c r="AD10">
        <v>101.93</v>
      </c>
      <c r="AE10">
        <v>0</v>
      </c>
      <c r="AF10">
        <v>0</v>
      </c>
      <c r="AG10">
        <v>0</v>
      </c>
      <c r="AH10">
        <v>6.2</v>
      </c>
      <c r="AI10">
        <v>1</v>
      </c>
      <c r="AJ10">
        <v>1</v>
      </c>
      <c r="AK10">
        <v>1</v>
      </c>
      <c r="AL10">
        <v>16.440000000000001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18.68</v>
      </c>
      <c r="AU10" t="s">
        <v>3</v>
      </c>
      <c r="AV10">
        <v>1</v>
      </c>
      <c r="AW10">
        <v>2</v>
      </c>
      <c r="AX10">
        <v>34847974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Y10*Source!I27</f>
        <v>78.50269999999999</v>
      </c>
      <c r="CY10">
        <f>AD10</f>
        <v>101.93</v>
      </c>
      <c r="CZ10">
        <f>AH10</f>
        <v>6.2</v>
      </c>
      <c r="DA10">
        <f>AL10</f>
        <v>16.440000000000001</v>
      </c>
      <c r="DB10">
        <v>0</v>
      </c>
    </row>
    <row r="11" spans="1:106">
      <c r="A11">
        <f>ROW(Source!A28)</f>
        <v>28</v>
      </c>
      <c r="B11">
        <v>34847864</v>
      </c>
      <c r="C11">
        <v>34847988</v>
      </c>
      <c r="D11">
        <v>24233608</v>
      </c>
      <c r="E11">
        <v>1</v>
      </c>
      <c r="F11">
        <v>1</v>
      </c>
      <c r="G11">
        <v>1</v>
      </c>
      <c r="H11">
        <v>1</v>
      </c>
      <c r="I11" t="s">
        <v>276</v>
      </c>
      <c r="J11" t="s">
        <v>3</v>
      </c>
      <c r="K11" t="s">
        <v>277</v>
      </c>
      <c r="L11">
        <v>1476</v>
      </c>
      <c r="N11">
        <v>1013</v>
      </c>
      <c r="O11" t="s">
        <v>263</v>
      </c>
      <c r="P11" t="s">
        <v>264</v>
      </c>
      <c r="Q11">
        <v>1</v>
      </c>
      <c r="W11">
        <v>0</v>
      </c>
      <c r="X11">
        <v>1809359306</v>
      </c>
      <c r="Y11">
        <v>36.018000000000001</v>
      </c>
      <c r="AA11">
        <v>0</v>
      </c>
      <c r="AB11">
        <v>0</v>
      </c>
      <c r="AC11">
        <v>0</v>
      </c>
      <c r="AD11">
        <v>6.35</v>
      </c>
      <c r="AE11">
        <v>0</v>
      </c>
      <c r="AF11">
        <v>0</v>
      </c>
      <c r="AG11">
        <v>0</v>
      </c>
      <c r="AH11">
        <v>6.35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31.32</v>
      </c>
      <c r="AU11" t="s">
        <v>12</v>
      </c>
      <c r="AV11">
        <v>1</v>
      </c>
      <c r="AW11">
        <v>2</v>
      </c>
      <c r="AX11">
        <v>34847989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Y11*Source!I28</f>
        <v>1.9802696400000002</v>
      </c>
      <c r="CY11">
        <f>AD11</f>
        <v>6.35</v>
      </c>
      <c r="CZ11">
        <f>AH11</f>
        <v>6.35</v>
      </c>
      <c r="DA11">
        <f>AL11</f>
        <v>1</v>
      </c>
      <c r="DB11">
        <v>0</v>
      </c>
    </row>
    <row r="12" spans="1:106">
      <c r="A12">
        <f>ROW(Source!A28)</f>
        <v>28</v>
      </c>
      <c r="B12">
        <v>34847864</v>
      </c>
      <c r="C12">
        <v>34847988</v>
      </c>
      <c r="D12">
        <v>121548</v>
      </c>
      <c r="E12">
        <v>1</v>
      </c>
      <c r="F12">
        <v>1</v>
      </c>
      <c r="G12">
        <v>1</v>
      </c>
      <c r="H12">
        <v>1</v>
      </c>
      <c r="I12" t="s">
        <v>23</v>
      </c>
      <c r="J12" t="s">
        <v>3</v>
      </c>
      <c r="K12" t="s">
        <v>265</v>
      </c>
      <c r="L12">
        <v>608254</v>
      </c>
      <c r="N12">
        <v>1013</v>
      </c>
      <c r="O12" t="s">
        <v>266</v>
      </c>
      <c r="P12" t="s">
        <v>266</v>
      </c>
      <c r="Q12">
        <v>1</v>
      </c>
      <c r="W12">
        <v>0</v>
      </c>
      <c r="X12">
        <v>-185737400</v>
      </c>
      <c r="Y12">
        <v>112.61250000000001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90.09</v>
      </c>
      <c r="AU12" t="s">
        <v>11</v>
      </c>
      <c r="AV12">
        <v>2</v>
      </c>
      <c r="AW12">
        <v>2</v>
      </c>
      <c r="AX12">
        <v>34847990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Y12*Source!I28</f>
        <v>6.1914352500000005</v>
      </c>
      <c r="CY12">
        <f>AD12</f>
        <v>0</v>
      </c>
      <c r="CZ12">
        <f>AH12</f>
        <v>0</v>
      </c>
      <c r="DA12">
        <f>AL12</f>
        <v>1</v>
      </c>
      <c r="DB12">
        <v>0</v>
      </c>
    </row>
    <row r="13" spans="1:106">
      <c r="A13">
        <f>ROW(Source!A28)</f>
        <v>28</v>
      </c>
      <c r="B13">
        <v>34847864</v>
      </c>
      <c r="C13">
        <v>34847988</v>
      </c>
      <c r="D13">
        <v>26554132</v>
      </c>
      <c r="E13">
        <v>1</v>
      </c>
      <c r="F13">
        <v>1</v>
      </c>
      <c r="G13">
        <v>1</v>
      </c>
      <c r="H13">
        <v>2</v>
      </c>
      <c r="I13" t="s">
        <v>278</v>
      </c>
      <c r="J13" t="s">
        <v>279</v>
      </c>
      <c r="K13" t="s">
        <v>280</v>
      </c>
      <c r="L13">
        <v>26553684</v>
      </c>
      <c r="N13">
        <v>1013</v>
      </c>
      <c r="O13" t="s">
        <v>270</v>
      </c>
      <c r="P13" t="s">
        <v>270</v>
      </c>
      <c r="Q13">
        <v>1</v>
      </c>
      <c r="W13">
        <v>0</v>
      </c>
      <c r="X13">
        <v>-1964848493</v>
      </c>
      <c r="Y13">
        <v>91.300000000000011</v>
      </c>
      <c r="AA13">
        <v>0</v>
      </c>
      <c r="AB13">
        <v>69.790000000000006</v>
      </c>
      <c r="AC13">
        <v>11.38</v>
      </c>
      <c r="AD13">
        <v>0</v>
      </c>
      <c r="AE13">
        <v>0</v>
      </c>
      <c r="AF13">
        <v>69.790000000000006</v>
      </c>
      <c r="AG13">
        <v>11.38</v>
      </c>
      <c r="AH13">
        <v>0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73.040000000000006</v>
      </c>
      <c r="AU13" t="s">
        <v>11</v>
      </c>
      <c r="AV13">
        <v>0</v>
      </c>
      <c r="AW13">
        <v>2</v>
      </c>
      <c r="AX13">
        <v>34847991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Y13*Source!I28</f>
        <v>5.0196740000000011</v>
      </c>
      <c r="CY13">
        <f>AB13</f>
        <v>69.790000000000006</v>
      </c>
      <c r="CZ13">
        <f>AF13</f>
        <v>69.790000000000006</v>
      </c>
      <c r="DA13">
        <f>AJ13</f>
        <v>1</v>
      </c>
      <c r="DB13">
        <v>0</v>
      </c>
    </row>
    <row r="14" spans="1:106">
      <c r="A14">
        <f>ROW(Source!A28)</f>
        <v>28</v>
      </c>
      <c r="B14">
        <v>34847864</v>
      </c>
      <c r="C14">
        <v>34847988</v>
      </c>
      <c r="D14">
        <v>26554178</v>
      </c>
      <c r="E14">
        <v>1</v>
      </c>
      <c r="F14">
        <v>1</v>
      </c>
      <c r="G14">
        <v>1</v>
      </c>
      <c r="H14">
        <v>2</v>
      </c>
      <c r="I14" t="s">
        <v>281</v>
      </c>
      <c r="J14" t="s">
        <v>282</v>
      </c>
      <c r="K14" t="s">
        <v>283</v>
      </c>
      <c r="L14">
        <v>26553684</v>
      </c>
      <c r="N14">
        <v>1013</v>
      </c>
      <c r="O14" t="s">
        <v>270</v>
      </c>
      <c r="P14" t="s">
        <v>270</v>
      </c>
      <c r="Q14">
        <v>1</v>
      </c>
      <c r="W14">
        <v>0</v>
      </c>
      <c r="X14">
        <v>-2075117089</v>
      </c>
      <c r="Y14">
        <v>21.3125</v>
      </c>
      <c r="AA14">
        <v>0</v>
      </c>
      <c r="AB14">
        <v>61.15</v>
      </c>
      <c r="AC14">
        <v>11.38</v>
      </c>
      <c r="AD14">
        <v>0</v>
      </c>
      <c r="AE14">
        <v>0</v>
      </c>
      <c r="AF14">
        <v>61.15</v>
      </c>
      <c r="AG14">
        <v>11.38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17.05</v>
      </c>
      <c r="AU14" t="s">
        <v>11</v>
      </c>
      <c r="AV14">
        <v>0</v>
      </c>
      <c r="AW14">
        <v>2</v>
      </c>
      <c r="AX14">
        <v>34847992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Y14*Source!I28</f>
        <v>1.1717612500000001</v>
      </c>
      <c r="CY14">
        <f>AB14</f>
        <v>61.15</v>
      </c>
      <c r="CZ14">
        <f>AF14</f>
        <v>61.15</v>
      </c>
      <c r="DA14">
        <f>AJ14</f>
        <v>1</v>
      </c>
      <c r="DB14">
        <v>0</v>
      </c>
    </row>
    <row r="15" spans="1:106">
      <c r="A15">
        <f>ROW(Source!A28)</f>
        <v>28</v>
      </c>
      <c r="B15">
        <v>34847864</v>
      </c>
      <c r="C15">
        <v>34847988</v>
      </c>
      <c r="D15">
        <v>26607555</v>
      </c>
      <c r="E15">
        <v>1</v>
      </c>
      <c r="F15">
        <v>1</v>
      </c>
      <c r="G15">
        <v>1</v>
      </c>
      <c r="H15">
        <v>3</v>
      </c>
      <c r="I15" t="s">
        <v>284</v>
      </c>
      <c r="J15" t="s">
        <v>285</v>
      </c>
      <c r="K15" t="s">
        <v>286</v>
      </c>
      <c r="L15">
        <v>1339</v>
      </c>
      <c r="N15">
        <v>1007</v>
      </c>
      <c r="O15" t="s">
        <v>69</v>
      </c>
      <c r="P15" t="s">
        <v>69</v>
      </c>
      <c r="Q15">
        <v>1</v>
      </c>
      <c r="W15">
        <v>0</v>
      </c>
      <c r="X15">
        <v>-1334857364</v>
      </c>
      <c r="Y15">
        <v>0.04</v>
      </c>
      <c r="AA15">
        <v>121.11</v>
      </c>
      <c r="AB15">
        <v>0</v>
      </c>
      <c r="AC15">
        <v>0</v>
      </c>
      <c r="AD15">
        <v>0</v>
      </c>
      <c r="AE15">
        <v>121.11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0.04</v>
      </c>
      <c r="AU15" t="s">
        <v>3</v>
      </c>
      <c r="AV15">
        <v>0</v>
      </c>
      <c r="AW15">
        <v>2</v>
      </c>
      <c r="AX15">
        <v>34847993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Y15*Source!I28</f>
        <v>2.1992000000000001E-3</v>
      </c>
      <c r="CY15">
        <f>AA15</f>
        <v>121.11</v>
      </c>
      <c r="CZ15">
        <f>AE15</f>
        <v>121.11</v>
      </c>
      <c r="DA15">
        <f>AI15</f>
        <v>1</v>
      </c>
      <c r="DB15">
        <v>0</v>
      </c>
    </row>
    <row r="16" spans="1:106">
      <c r="A16">
        <f>ROW(Source!A29)</f>
        <v>29</v>
      </c>
      <c r="B16">
        <v>34847877</v>
      </c>
      <c r="C16">
        <v>34847988</v>
      </c>
      <c r="D16">
        <v>24233608</v>
      </c>
      <c r="E16">
        <v>1</v>
      </c>
      <c r="F16">
        <v>1</v>
      </c>
      <c r="G16">
        <v>1</v>
      </c>
      <c r="H16">
        <v>1</v>
      </c>
      <c r="I16" t="s">
        <v>276</v>
      </c>
      <c r="J16" t="s">
        <v>3</v>
      </c>
      <c r="K16" t="s">
        <v>277</v>
      </c>
      <c r="L16">
        <v>1476</v>
      </c>
      <c r="N16">
        <v>1013</v>
      </c>
      <c r="O16" t="s">
        <v>263</v>
      </c>
      <c r="P16" t="s">
        <v>264</v>
      </c>
      <c r="Q16">
        <v>1</v>
      </c>
      <c r="W16">
        <v>0</v>
      </c>
      <c r="X16">
        <v>1809359306</v>
      </c>
      <c r="Y16">
        <v>36.018000000000001</v>
      </c>
      <c r="AA16">
        <v>0</v>
      </c>
      <c r="AB16">
        <v>0</v>
      </c>
      <c r="AC16">
        <v>0</v>
      </c>
      <c r="AD16">
        <v>104.39</v>
      </c>
      <c r="AE16">
        <v>0</v>
      </c>
      <c r="AF16">
        <v>0</v>
      </c>
      <c r="AG16">
        <v>0</v>
      </c>
      <c r="AH16">
        <v>6.35</v>
      </c>
      <c r="AI16">
        <v>1</v>
      </c>
      <c r="AJ16">
        <v>1</v>
      </c>
      <c r="AK16">
        <v>1</v>
      </c>
      <c r="AL16">
        <v>16.440000000000001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31.32</v>
      </c>
      <c r="AU16" t="s">
        <v>12</v>
      </c>
      <c r="AV16">
        <v>1</v>
      </c>
      <c r="AW16">
        <v>2</v>
      </c>
      <c r="AX16">
        <v>34847989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Y16*Source!I29</f>
        <v>1.9802696400000002</v>
      </c>
      <c r="CY16">
        <f>AD16</f>
        <v>104.39</v>
      </c>
      <c r="CZ16">
        <f>AH16</f>
        <v>6.35</v>
      </c>
      <c r="DA16">
        <f>AL16</f>
        <v>16.440000000000001</v>
      </c>
      <c r="DB16">
        <v>0</v>
      </c>
    </row>
    <row r="17" spans="1:106">
      <c r="A17">
        <f>ROW(Source!A29)</f>
        <v>29</v>
      </c>
      <c r="B17">
        <v>34847877</v>
      </c>
      <c r="C17">
        <v>34847988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23</v>
      </c>
      <c r="J17" t="s">
        <v>3</v>
      </c>
      <c r="K17" t="s">
        <v>265</v>
      </c>
      <c r="L17">
        <v>608254</v>
      </c>
      <c r="N17">
        <v>1013</v>
      </c>
      <c r="O17" t="s">
        <v>266</v>
      </c>
      <c r="P17" t="s">
        <v>266</v>
      </c>
      <c r="Q17">
        <v>1</v>
      </c>
      <c r="W17">
        <v>0</v>
      </c>
      <c r="X17">
        <v>-185737400</v>
      </c>
      <c r="Y17">
        <v>112.61250000000001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16.440000000000001</v>
      </c>
      <c r="AL17">
        <v>1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90.09</v>
      </c>
      <c r="AU17" t="s">
        <v>11</v>
      </c>
      <c r="AV17">
        <v>2</v>
      </c>
      <c r="AW17">
        <v>2</v>
      </c>
      <c r="AX17">
        <v>34847990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Y17*Source!I29</f>
        <v>6.1914352500000005</v>
      </c>
      <c r="CY17">
        <f>AD17</f>
        <v>0</v>
      </c>
      <c r="CZ17">
        <f>AH17</f>
        <v>0</v>
      </c>
      <c r="DA17">
        <f>AL17</f>
        <v>1</v>
      </c>
      <c r="DB17">
        <v>0</v>
      </c>
    </row>
    <row r="18" spans="1:106">
      <c r="A18">
        <f>ROW(Source!A29)</f>
        <v>29</v>
      </c>
      <c r="B18">
        <v>34847877</v>
      </c>
      <c r="C18">
        <v>34847988</v>
      </c>
      <c r="D18">
        <v>26554132</v>
      </c>
      <c r="E18">
        <v>1</v>
      </c>
      <c r="F18">
        <v>1</v>
      </c>
      <c r="G18">
        <v>1</v>
      </c>
      <c r="H18">
        <v>2</v>
      </c>
      <c r="I18" t="s">
        <v>278</v>
      </c>
      <c r="J18" t="s">
        <v>279</v>
      </c>
      <c r="K18" t="s">
        <v>280</v>
      </c>
      <c r="L18">
        <v>26553684</v>
      </c>
      <c r="N18">
        <v>1013</v>
      </c>
      <c r="O18" t="s">
        <v>270</v>
      </c>
      <c r="P18" t="s">
        <v>270</v>
      </c>
      <c r="Q18">
        <v>1</v>
      </c>
      <c r="W18">
        <v>0</v>
      </c>
      <c r="X18">
        <v>-1964848493</v>
      </c>
      <c r="Y18">
        <v>91.300000000000011</v>
      </c>
      <c r="AA18">
        <v>0</v>
      </c>
      <c r="AB18">
        <v>433.4</v>
      </c>
      <c r="AC18">
        <v>187.09</v>
      </c>
      <c r="AD18">
        <v>0</v>
      </c>
      <c r="AE18">
        <v>0</v>
      </c>
      <c r="AF18">
        <v>69.790000000000006</v>
      </c>
      <c r="AG18">
        <v>11.38</v>
      </c>
      <c r="AH18">
        <v>0</v>
      </c>
      <c r="AI18">
        <v>1</v>
      </c>
      <c r="AJ18">
        <v>6.21</v>
      </c>
      <c r="AK18">
        <v>16.440000000000001</v>
      </c>
      <c r="AL18">
        <v>1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73.040000000000006</v>
      </c>
      <c r="AU18" t="s">
        <v>11</v>
      </c>
      <c r="AV18">
        <v>0</v>
      </c>
      <c r="AW18">
        <v>2</v>
      </c>
      <c r="AX18">
        <v>34847991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Y18*Source!I29</f>
        <v>5.0196740000000011</v>
      </c>
      <c r="CY18">
        <f>AB18</f>
        <v>433.4</v>
      </c>
      <c r="CZ18">
        <f>AF18</f>
        <v>69.790000000000006</v>
      </c>
      <c r="DA18">
        <f>AJ18</f>
        <v>6.21</v>
      </c>
      <c r="DB18">
        <v>0</v>
      </c>
    </row>
    <row r="19" spans="1:106">
      <c r="A19">
        <f>ROW(Source!A29)</f>
        <v>29</v>
      </c>
      <c r="B19">
        <v>34847877</v>
      </c>
      <c r="C19">
        <v>34847988</v>
      </c>
      <c r="D19">
        <v>26554178</v>
      </c>
      <c r="E19">
        <v>1</v>
      </c>
      <c r="F19">
        <v>1</v>
      </c>
      <c r="G19">
        <v>1</v>
      </c>
      <c r="H19">
        <v>2</v>
      </c>
      <c r="I19" t="s">
        <v>281</v>
      </c>
      <c r="J19" t="s">
        <v>282</v>
      </c>
      <c r="K19" t="s">
        <v>283</v>
      </c>
      <c r="L19">
        <v>26553684</v>
      </c>
      <c r="N19">
        <v>1013</v>
      </c>
      <c r="O19" t="s">
        <v>270</v>
      </c>
      <c r="P19" t="s">
        <v>270</v>
      </c>
      <c r="Q19">
        <v>1</v>
      </c>
      <c r="W19">
        <v>0</v>
      </c>
      <c r="X19">
        <v>-2075117089</v>
      </c>
      <c r="Y19">
        <v>21.3125</v>
      </c>
      <c r="AA19">
        <v>0</v>
      </c>
      <c r="AB19">
        <v>379.74</v>
      </c>
      <c r="AC19">
        <v>187.09</v>
      </c>
      <c r="AD19">
        <v>0</v>
      </c>
      <c r="AE19">
        <v>0</v>
      </c>
      <c r="AF19">
        <v>61.15</v>
      </c>
      <c r="AG19">
        <v>11.38</v>
      </c>
      <c r="AH19">
        <v>0</v>
      </c>
      <c r="AI19">
        <v>1</v>
      </c>
      <c r="AJ19">
        <v>6.21</v>
      </c>
      <c r="AK19">
        <v>16.440000000000001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17.05</v>
      </c>
      <c r="AU19" t="s">
        <v>11</v>
      </c>
      <c r="AV19">
        <v>0</v>
      </c>
      <c r="AW19">
        <v>2</v>
      </c>
      <c r="AX19">
        <v>34847992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Y19*Source!I29</f>
        <v>1.1717612500000001</v>
      </c>
      <c r="CY19">
        <f>AB19</f>
        <v>379.74</v>
      </c>
      <c r="CZ19">
        <f>AF19</f>
        <v>61.15</v>
      </c>
      <c r="DA19">
        <f>AJ19</f>
        <v>6.21</v>
      </c>
      <c r="DB19">
        <v>0</v>
      </c>
    </row>
    <row r="20" spans="1:106">
      <c r="A20">
        <f>ROW(Source!A29)</f>
        <v>29</v>
      </c>
      <c r="B20">
        <v>34847877</v>
      </c>
      <c r="C20">
        <v>34847988</v>
      </c>
      <c r="D20">
        <v>26607555</v>
      </c>
      <c r="E20">
        <v>1</v>
      </c>
      <c r="F20">
        <v>1</v>
      </c>
      <c r="G20">
        <v>1</v>
      </c>
      <c r="H20">
        <v>3</v>
      </c>
      <c r="I20" t="s">
        <v>284</v>
      </c>
      <c r="J20" t="s">
        <v>285</v>
      </c>
      <c r="K20" t="s">
        <v>286</v>
      </c>
      <c r="L20">
        <v>1339</v>
      </c>
      <c r="N20">
        <v>1007</v>
      </c>
      <c r="O20" t="s">
        <v>69</v>
      </c>
      <c r="P20" t="s">
        <v>69</v>
      </c>
      <c r="Q20">
        <v>1</v>
      </c>
      <c r="W20">
        <v>0</v>
      </c>
      <c r="X20">
        <v>-1334857364</v>
      </c>
      <c r="Y20">
        <v>0.04</v>
      </c>
      <c r="AA20">
        <v>714.55</v>
      </c>
      <c r="AB20">
        <v>0</v>
      </c>
      <c r="AC20">
        <v>0</v>
      </c>
      <c r="AD20">
        <v>0</v>
      </c>
      <c r="AE20">
        <v>121.11</v>
      </c>
      <c r="AF20">
        <v>0</v>
      </c>
      <c r="AG20">
        <v>0</v>
      </c>
      <c r="AH20">
        <v>0</v>
      </c>
      <c r="AI20">
        <v>5.9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0.04</v>
      </c>
      <c r="AU20" t="s">
        <v>3</v>
      </c>
      <c r="AV20">
        <v>0</v>
      </c>
      <c r="AW20">
        <v>2</v>
      </c>
      <c r="AX20">
        <v>34847993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Y20*Source!I29</f>
        <v>2.1992000000000001E-3</v>
      </c>
      <c r="CY20">
        <f>AA20</f>
        <v>714.55</v>
      </c>
      <c r="CZ20">
        <f>AE20</f>
        <v>121.11</v>
      </c>
      <c r="DA20">
        <f>AI20</f>
        <v>5.9</v>
      </c>
      <c r="DB20">
        <v>0</v>
      </c>
    </row>
    <row r="21" spans="1:106">
      <c r="A21">
        <f>ROW(Source!A32)</f>
        <v>32</v>
      </c>
      <c r="B21">
        <v>34847864</v>
      </c>
      <c r="C21">
        <v>34847996</v>
      </c>
      <c r="D21">
        <v>24225731</v>
      </c>
      <c r="E21">
        <v>1</v>
      </c>
      <c r="F21">
        <v>1</v>
      </c>
      <c r="G21">
        <v>1</v>
      </c>
      <c r="H21">
        <v>1</v>
      </c>
      <c r="I21" t="s">
        <v>287</v>
      </c>
      <c r="J21" t="s">
        <v>3</v>
      </c>
      <c r="K21" t="s">
        <v>288</v>
      </c>
      <c r="L21">
        <v>1476</v>
      </c>
      <c r="N21">
        <v>1013</v>
      </c>
      <c r="O21" t="s">
        <v>263</v>
      </c>
      <c r="P21" t="s">
        <v>264</v>
      </c>
      <c r="Q21">
        <v>1</v>
      </c>
      <c r="W21">
        <v>0</v>
      </c>
      <c r="X21">
        <v>-1250946568</v>
      </c>
      <c r="Y21">
        <v>0.72</v>
      </c>
      <c r="AA21">
        <v>0</v>
      </c>
      <c r="AB21">
        <v>0</v>
      </c>
      <c r="AC21">
        <v>0</v>
      </c>
      <c r="AD21">
        <v>9.02</v>
      </c>
      <c r="AE21">
        <v>0</v>
      </c>
      <c r="AF21">
        <v>0</v>
      </c>
      <c r="AG21">
        <v>0</v>
      </c>
      <c r="AH21">
        <v>9.02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0.72</v>
      </c>
      <c r="AU21" t="s">
        <v>3</v>
      </c>
      <c r="AV21">
        <v>1</v>
      </c>
      <c r="AW21">
        <v>2</v>
      </c>
      <c r="AX21">
        <v>34847997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Y21*Source!I32</f>
        <v>0.34930800000000001</v>
      </c>
      <c r="CY21">
        <f>AD21</f>
        <v>9.02</v>
      </c>
      <c r="CZ21">
        <f>AH21</f>
        <v>9.02</v>
      </c>
      <c r="DA21">
        <f>AL21</f>
        <v>1</v>
      </c>
      <c r="DB21">
        <v>0</v>
      </c>
    </row>
    <row r="22" spans="1:106">
      <c r="A22">
        <f>ROW(Source!A32)</f>
        <v>32</v>
      </c>
      <c r="B22">
        <v>34847864</v>
      </c>
      <c r="C22">
        <v>34847996</v>
      </c>
      <c r="D22">
        <v>121548</v>
      </c>
      <c r="E22">
        <v>1</v>
      </c>
      <c r="F22">
        <v>1</v>
      </c>
      <c r="G22">
        <v>1</v>
      </c>
      <c r="H22">
        <v>1</v>
      </c>
      <c r="I22" t="s">
        <v>23</v>
      </c>
      <c r="J22" t="s">
        <v>3</v>
      </c>
      <c r="K22" t="s">
        <v>265</v>
      </c>
      <c r="L22">
        <v>608254</v>
      </c>
      <c r="N22">
        <v>1013</v>
      </c>
      <c r="O22" t="s">
        <v>266</v>
      </c>
      <c r="P22" t="s">
        <v>266</v>
      </c>
      <c r="Q22">
        <v>1</v>
      </c>
      <c r="W22">
        <v>0</v>
      </c>
      <c r="X22">
        <v>-185737400</v>
      </c>
      <c r="Y22">
        <v>0.7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0.7</v>
      </c>
      <c r="AU22" t="s">
        <v>3</v>
      </c>
      <c r="AV22">
        <v>2</v>
      </c>
      <c r="AW22">
        <v>2</v>
      </c>
      <c r="AX22">
        <v>34847998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Y22*Source!I32</f>
        <v>0.33960499999999999</v>
      </c>
      <c r="CY22">
        <f>AD22</f>
        <v>0</v>
      </c>
      <c r="CZ22">
        <f>AH22</f>
        <v>0</v>
      </c>
      <c r="DA22">
        <f>AL22</f>
        <v>1</v>
      </c>
      <c r="DB22">
        <v>0</v>
      </c>
    </row>
    <row r="23" spans="1:106">
      <c r="A23">
        <f>ROW(Source!A32)</f>
        <v>32</v>
      </c>
      <c r="B23">
        <v>34847864</v>
      </c>
      <c r="C23">
        <v>34847996</v>
      </c>
      <c r="D23">
        <v>26554486</v>
      </c>
      <c r="E23">
        <v>1</v>
      </c>
      <c r="F23">
        <v>1</v>
      </c>
      <c r="G23">
        <v>1</v>
      </c>
      <c r="H23">
        <v>2</v>
      </c>
      <c r="I23" t="s">
        <v>289</v>
      </c>
      <c r="J23" t="s">
        <v>290</v>
      </c>
      <c r="K23" t="s">
        <v>291</v>
      </c>
      <c r="L23">
        <v>26553684</v>
      </c>
      <c r="N23">
        <v>1013</v>
      </c>
      <c r="O23" t="s">
        <v>270</v>
      </c>
      <c r="P23" t="s">
        <v>270</v>
      </c>
      <c r="Q23">
        <v>1</v>
      </c>
      <c r="W23">
        <v>0</v>
      </c>
      <c r="X23">
        <v>-1654342457</v>
      </c>
      <c r="Y23">
        <v>0.7</v>
      </c>
      <c r="AA23">
        <v>0</v>
      </c>
      <c r="AB23">
        <v>110</v>
      </c>
      <c r="AC23">
        <v>11.38</v>
      </c>
      <c r="AD23">
        <v>0</v>
      </c>
      <c r="AE23">
        <v>0</v>
      </c>
      <c r="AF23">
        <v>110</v>
      </c>
      <c r="AG23">
        <v>11.38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0.7</v>
      </c>
      <c r="AU23" t="s">
        <v>3</v>
      </c>
      <c r="AV23">
        <v>0</v>
      </c>
      <c r="AW23">
        <v>2</v>
      </c>
      <c r="AX23">
        <v>34847999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Y23*Source!I32</f>
        <v>0.33960499999999999</v>
      </c>
      <c r="CY23">
        <f>AB23</f>
        <v>110</v>
      </c>
      <c r="CZ23">
        <f>AF23</f>
        <v>110</v>
      </c>
      <c r="DA23">
        <f>AJ23</f>
        <v>1</v>
      </c>
      <c r="DB23">
        <v>0</v>
      </c>
    </row>
    <row r="24" spans="1:106">
      <c r="A24">
        <f>ROW(Source!A32)</f>
        <v>32</v>
      </c>
      <c r="B24">
        <v>34847864</v>
      </c>
      <c r="C24">
        <v>34847996</v>
      </c>
      <c r="D24">
        <v>26608102</v>
      </c>
      <c r="E24">
        <v>1</v>
      </c>
      <c r="F24">
        <v>1</v>
      </c>
      <c r="G24">
        <v>1</v>
      </c>
      <c r="H24">
        <v>3</v>
      </c>
      <c r="I24" t="s">
        <v>292</v>
      </c>
      <c r="J24" t="s">
        <v>293</v>
      </c>
      <c r="K24" t="s">
        <v>294</v>
      </c>
      <c r="L24">
        <v>1339</v>
      </c>
      <c r="N24">
        <v>1007</v>
      </c>
      <c r="O24" t="s">
        <v>69</v>
      </c>
      <c r="P24" t="s">
        <v>69</v>
      </c>
      <c r="Q24">
        <v>1</v>
      </c>
      <c r="W24">
        <v>0</v>
      </c>
      <c r="X24">
        <v>-1025641989</v>
      </c>
      <c r="Y24">
        <v>0.3</v>
      </c>
      <c r="AA24">
        <v>2.2599999999999998</v>
      </c>
      <c r="AB24">
        <v>0</v>
      </c>
      <c r="AC24">
        <v>0</v>
      </c>
      <c r="AD24">
        <v>0</v>
      </c>
      <c r="AE24">
        <v>2.2599999999999998</v>
      </c>
      <c r="AF24">
        <v>0</v>
      </c>
      <c r="AG24">
        <v>0</v>
      </c>
      <c r="AH24">
        <v>0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0.3</v>
      </c>
      <c r="AU24" t="s">
        <v>3</v>
      </c>
      <c r="AV24">
        <v>0</v>
      </c>
      <c r="AW24">
        <v>2</v>
      </c>
      <c r="AX24">
        <v>34848001</v>
      </c>
      <c r="AY24">
        <v>1</v>
      </c>
      <c r="AZ24">
        <v>0</v>
      </c>
      <c r="BA24">
        <v>25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Y24*Source!I32</f>
        <v>0.14554500000000001</v>
      </c>
      <c r="CY24">
        <f>AA24</f>
        <v>2.2599999999999998</v>
      </c>
      <c r="CZ24">
        <f>AE24</f>
        <v>2.2599999999999998</v>
      </c>
      <c r="DA24">
        <f>AI24</f>
        <v>1</v>
      </c>
      <c r="DB24">
        <v>0</v>
      </c>
    </row>
    <row r="25" spans="1:106">
      <c r="A25">
        <f>ROW(Source!A32)</f>
        <v>32</v>
      </c>
      <c r="B25">
        <v>34847864</v>
      </c>
      <c r="C25">
        <v>34847996</v>
      </c>
      <c r="D25">
        <v>0</v>
      </c>
      <c r="E25">
        <v>0</v>
      </c>
      <c r="F25">
        <v>1</v>
      </c>
      <c r="G25">
        <v>1</v>
      </c>
      <c r="H25">
        <v>3</v>
      </c>
      <c r="I25" t="s">
        <v>52</v>
      </c>
      <c r="J25" t="s">
        <v>55</v>
      </c>
      <c r="K25" t="s">
        <v>53</v>
      </c>
      <c r="L25">
        <v>1371</v>
      </c>
      <c r="N25">
        <v>1013</v>
      </c>
      <c r="O25" t="s">
        <v>54</v>
      </c>
      <c r="P25" t="s">
        <v>54</v>
      </c>
      <c r="Q25">
        <v>1</v>
      </c>
      <c r="W25">
        <v>0</v>
      </c>
      <c r="X25">
        <v>1612076454</v>
      </c>
      <c r="Y25">
        <v>2.0612180000000002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1</v>
      </c>
      <c r="AO25">
        <v>0</v>
      </c>
      <c r="AP25">
        <v>0</v>
      </c>
      <c r="AQ25">
        <v>0</v>
      </c>
      <c r="AR25">
        <v>0</v>
      </c>
      <c r="AS25" t="s">
        <v>3</v>
      </c>
      <c r="AT25">
        <v>2.0612180000000002</v>
      </c>
      <c r="AU25" t="s">
        <v>3</v>
      </c>
      <c r="AV25">
        <v>0</v>
      </c>
      <c r="AW25">
        <v>1</v>
      </c>
      <c r="AX25">
        <v>-1</v>
      </c>
      <c r="AY25">
        <v>0</v>
      </c>
      <c r="AZ25">
        <v>0</v>
      </c>
      <c r="BA25" t="s">
        <v>3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Y25*Source!I32</f>
        <v>0.9999999127000001</v>
      </c>
      <c r="CY25">
        <f>AA25</f>
        <v>0</v>
      </c>
      <c r="CZ25">
        <f>AE25</f>
        <v>0</v>
      </c>
      <c r="DA25">
        <f>AI25</f>
        <v>1</v>
      </c>
      <c r="DB25">
        <v>0</v>
      </c>
    </row>
    <row r="26" spans="1:106">
      <c r="A26">
        <f>ROW(Source!A33)</f>
        <v>33</v>
      </c>
      <c r="B26">
        <v>34847877</v>
      </c>
      <c r="C26">
        <v>34847996</v>
      </c>
      <c r="D26">
        <v>24225731</v>
      </c>
      <c r="E26">
        <v>1</v>
      </c>
      <c r="F26">
        <v>1</v>
      </c>
      <c r="G26">
        <v>1</v>
      </c>
      <c r="H26">
        <v>1</v>
      </c>
      <c r="I26" t="s">
        <v>287</v>
      </c>
      <c r="J26" t="s">
        <v>3</v>
      </c>
      <c r="K26" t="s">
        <v>288</v>
      </c>
      <c r="L26">
        <v>1476</v>
      </c>
      <c r="N26">
        <v>1013</v>
      </c>
      <c r="O26" t="s">
        <v>263</v>
      </c>
      <c r="P26" t="s">
        <v>264</v>
      </c>
      <c r="Q26">
        <v>1</v>
      </c>
      <c r="W26">
        <v>0</v>
      </c>
      <c r="X26">
        <v>-1250946568</v>
      </c>
      <c r="Y26">
        <v>0.72</v>
      </c>
      <c r="AA26">
        <v>0</v>
      </c>
      <c r="AB26">
        <v>0</v>
      </c>
      <c r="AC26">
        <v>0</v>
      </c>
      <c r="AD26">
        <v>148.29</v>
      </c>
      <c r="AE26">
        <v>0</v>
      </c>
      <c r="AF26">
        <v>0</v>
      </c>
      <c r="AG26">
        <v>0</v>
      </c>
      <c r="AH26">
        <v>9.02</v>
      </c>
      <c r="AI26">
        <v>1</v>
      </c>
      <c r="AJ26">
        <v>1</v>
      </c>
      <c r="AK26">
        <v>1</v>
      </c>
      <c r="AL26">
        <v>16.440000000000001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0.72</v>
      </c>
      <c r="AU26" t="s">
        <v>3</v>
      </c>
      <c r="AV26">
        <v>1</v>
      </c>
      <c r="AW26">
        <v>2</v>
      </c>
      <c r="AX26">
        <v>34847997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Y26*Source!I33</f>
        <v>0.34930800000000001</v>
      </c>
      <c r="CY26">
        <f>AD26</f>
        <v>148.29</v>
      </c>
      <c r="CZ26">
        <f>AH26</f>
        <v>9.02</v>
      </c>
      <c r="DA26">
        <f>AL26</f>
        <v>16.440000000000001</v>
      </c>
      <c r="DB26">
        <v>0</v>
      </c>
    </row>
    <row r="27" spans="1:106">
      <c r="A27">
        <f>ROW(Source!A33)</f>
        <v>33</v>
      </c>
      <c r="B27">
        <v>34847877</v>
      </c>
      <c r="C27">
        <v>34847996</v>
      </c>
      <c r="D27">
        <v>121548</v>
      </c>
      <c r="E27">
        <v>1</v>
      </c>
      <c r="F27">
        <v>1</v>
      </c>
      <c r="G27">
        <v>1</v>
      </c>
      <c r="H27">
        <v>1</v>
      </c>
      <c r="I27" t="s">
        <v>23</v>
      </c>
      <c r="J27" t="s">
        <v>3</v>
      </c>
      <c r="K27" t="s">
        <v>265</v>
      </c>
      <c r="L27">
        <v>608254</v>
      </c>
      <c r="N27">
        <v>1013</v>
      </c>
      <c r="O27" t="s">
        <v>266</v>
      </c>
      <c r="P27" t="s">
        <v>266</v>
      </c>
      <c r="Q27">
        <v>1</v>
      </c>
      <c r="W27">
        <v>0</v>
      </c>
      <c r="X27">
        <v>-185737400</v>
      </c>
      <c r="Y27">
        <v>0.7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1</v>
      </c>
      <c r="AJ27">
        <v>1</v>
      </c>
      <c r="AK27">
        <v>16.440000000000001</v>
      </c>
      <c r="AL27">
        <v>1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0.7</v>
      </c>
      <c r="AU27" t="s">
        <v>3</v>
      </c>
      <c r="AV27">
        <v>2</v>
      </c>
      <c r="AW27">
        <v>2</v>
      </c>
      <c r="AX27">
        <v>34847998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Y27*Source!I33</f>
        <v>0.33960499999999999</v>
      </c>
      <c r="CY27">
        <f>AD27</f>
        <v>0</v>
      </c>
      <c r="CZ27">
        <f>AH27</f>
        <v>0</v>
      </c>
      <c r="DA27">
        <f>AL27</f>
        <v>1</v>
      </c>
      <c r="DB27">
        <v>0</v>
      </c>
    </row>
    <row r="28" spans="1:106">
      <c r="A28">
        <f>ROW(Source!A33)</f>
        <v>33</v>
      </c>
      <c r="B28">
        <v>34847877</v>
      </c>
      <c r="C28">
        <v>34847996</v>
      </c>
      <c r="D28">
        <v>26554486</v>
      </c>
      <c r="E28">
        <v>1</v>
      </c>
      <c r="F28">
        <v>1</v>
      </c>
      <c r="G28">
        <v>1</v>
      </c>
      <c r="H28">
        <v>2</v>
      </c>
      <c r="I28" t="s">
        <v>289</v>
      </c>
      <c r="J28" t="s">
        <v>290</v>
      </c>
      <c r="K28" t="s">
        <v>291</v>
      </c>
      <c r="L28">
        <v>26553684</v>
      </c>
      <c r="N28">
        <v>1013</v>
      </c>
      <c r="O28" t="s">
        <v>270</v>
      </c>
      <c r="P28" t="s">
        <v>270</v>
      </c>
      <c r="Q28">
        <v>1</v>
      </c>
      <c r="W28">
        <v>0</v>
      </c>
      <c r="X28">
        <v>-1654342457</v>
      </c>
      <c r="Y28">
        <v>0.7</v>
      </c>
      <c r="AA28">
        <v>0</v>
      </c>
      <c r="AB28">
        <v>683.1</v>
      </c>
      <c r="AC28">
        <v>187.09</v>
      </c>
      <c r="AD28">
        <v>0</v>
      </c>
      <c r="AE28">
        <v>0</v>
      </c>
      <c r="AF28">
        <v>110</v>
      </c>
      <c r="AG28">
        <v>11.38</v>
      </c>
      <c r="AH28">
        <v>0</v>
      </c>
      <c r="AI28">
        <v>1</v>
      </c>
      <c r="AJ28">
        <v>6.21</v>
      </c>
      <c r="AK28">
        <v>16.440000000000001</v>
      </c>
      <c r="AL28">
        <v>1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3</v>
      </c>
      <c r="AT28">
        <v>0.7</v>
      </c>
      <c r="AU28" t="s">
        <v>3</v>
      </c>
      <c r="AV28">
        <v>0</v>
      </c>
      <c r="AW28">
        <v>2</v>
      </c>
      <c r="AX28">
        <v>34847999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Y28*Source!I33</f>
        <v>0.33960499999999999</v>
      </c>
      <c r="CY28">
        <f>AB28</f>
        <v>683.1</v>
      </c>
      <c r="CZ28">
        <f>AF28</f>
        <v>110</v>
      </c>
      <c r="DA28">
        <f>AJ28</f>
        <v>6.21</v>
      </c>
      <c r="DB28">
        <v>0</v>
      </c>
    </row>
    <row r="29" spans="1:106">
      <c r="A29">
        <f>ROW(Source!A33)</f>
        <v>33</v>
      </c>
      <c r="B29">
        <v>34847877</v>
      </c>
      <c r="C29">
        <v>34847996</v>
      </c>
      <c r="D29">
        <v>26608102</v>
      </c>
      <c r="E29">
        <v>1</v>
      </c>
      <c r="F29">
        <v>1</v>
      </c>
      <c r="G29">
        <v>1</v>
      </c>
      <c r="H29">
        <v>3</v>
      </c>
      <c r="I29" t="s">
        <v>292</v>
      </c>
      <c r="J29" t="s">
        <v>293</v>
      </c>
      <c r="K29" t="s">
        <v>294</v>
      </c>
      <c r="L29">
        <v>1339</v>
      </c>
      <c r="N29">
        <v>1007</v>
      </c>
      <c r="O29" t="s">
        <v>69</v>
      </c>
      <c r="P29" t="s">
        <v>69</v>
      </c>
      <c r="Q29">
        <v>1</v>
      </c>
      <c r="W29">
        <v>0</v>
      </c>
      <c r="X29">
        <v>-1025641989</v>
      </c>
      <c r="Y29">
        <v>0.3</v>
      </c>
      <c r="AA29">
        <v>13.33</v>
      </c>
      <c r="AB29">
        <v>0</v>
      </c>
      <c r="AC29">
        <v>0</v>
      </c>
      <c r="AD29">
        <v>0</v>
      </c>
      <c r="AE29">
        <v>2.2599999999999998</v>
      </c>
      <c r="AF29">
        <v>0</v>
      </c>
      <c r="AG29">
        <v>0</v>
      </c>
      <c r="AH29">
        <v>0</v>
      </c>
      <c r="AI29">
        <v>5.9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0.3</v>
      </c>
      <c r="AU29" t="s">
        <v>3</v>
      </c>
      <c r="AV29">
        <v>0</v>
      </c>
      <c r="AW29">
        <v>2</v>
      </c>
      <c r="AX29">
        <v>34848001</v>
      </c>
      <c r="AY29">
        <v>1</v>
      </c>
      <c r="AZ29">
        <v>0</v>
      </c>
      <c r="BA29">
        <v>30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Y29*Source!I33</f>
        <v>0.14554500000000001</v>
      </c>
      <c r="CY29">
        <f>AA29</f>
        <v>13.33</v>
      </c>
      <c r="CZ29">
        <f>AE29</f>
        <v>2.2599999999999998</v>
      </c>
      <c r="DA29">
        <f>AI29</f>
        <v>5.9</v>
      </c>
      <c r="DB29">
        <v>0</v>
      </c>
    </row>
    <row r="30" spans="1:106">
      <c r="A30">
        <f>ROW(Source!A33)</f>
        <v>33</v>
      </c>
      <c r="B30">
        <v>34847877</v>
      </c>
      <c r="C30">
        <v>34847996</v>
      </c>
      <c r="D30">
        <v>0</v>
      </c>
      <c r="E30">
        <v>0</v>
      </c>
      <c r="F30">
        <v>1</v>
      </c>
      <c r="G30">
        <v>1</v>
      </c>
      <c r="H30">
        <v>3</v>
      </c>
      <c r="I30" t="s">
        <v>52</v>
      </c>
      <c r="J30" t="s">
        <v>55</v>
      </c>
      <c r="K30" t="s">
        <v>53</v>
      </c>
      <c r="L30">
        <v>1371</v>
      </c>
      <c r="N30">
        <v>1013</v>
      </c>
      <c r="O30" t="s">
        <v>54</v>
      </c>
      <c r="P30" t="s">
        <v>54</v>
      </c>
      <c r="Q30">
        <v>1</v>
      </c>
      <c r="W30">
        <v>0</v>
      </c>
      <c r="X30">
        <v>1612076454</v>
      </c>
      <c r="Y30">
        <v>2.0612180000000002</v>
      </c>
      <c r="AA30">
        <v>169.33</v>
      </c>
      <c r="AB30">
        <v>0</v>
      </c>
      <c r="AC30">
        <v>0</v>
      </c>
      <c r="AD30">
        <v>0</v>
      </c>
      <c r="AE30">
        <v>28.7</v>
      </c>
      <c r="AF30">
        <v>0</v>
      </c>
      <c r="AG30">
        <v>0</v>
      </c>
      <c r="AH30">
        <v>0</v>
      </c>
      <c r="AI30">
        <v>5.9</v>
      </c>
      <c r="AJ30">
        <v>1</v>
      </c>
      <c r="AK30">
        <v>1</v>
      </c>
      <c r="AL30">
        <v>1</v>
      </c>
      <c r="AN30">
        <v>1</v>
      </c>
      <c r="AO30">
        <v>0</v>
      </c>
      <c r="AP30">
        <v>0</v>
      </c>
      <c r="AQ30">
        <v>0</v>
      </c>
      <c r="AR30">
        <v>0</v>
      </c>
      <c r="AS30" t="s">
        <v>3</v>
      </c>
      <c r="AT30">
        <v>2.0612180000000002</v>
      </c>
      <c r="AU30" t="s">
        <v>3</v>
      </c>
      <c r="AV30">
        <v>0</v>
      </c>
      <c r="AW30">
        <v>1</v>
      </c>
      <c r="AX30">
        <v>-1</v>
      </c>
      <c r="AY30">
        <v>0</v>
      </c>
      <c r="AZ30">
        <v>0</v>
      </c>
      <c r="BA30" t="s">
        <v>3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Y30*Source!I33</f>
        <v>0.9999999127000001</v>
      </c>
      <c r="CY30">
        <f>AA30</f>
        <v>169.33</v>
      </c>
      <c r="CZ30">
        <f>AE30</f>
        <v>28.7</v>
      </c>
      <c r="DA30">
        <f>AI30</f>
        <v>5.9</v>
      </c>
      <c r="DB30">
        <v>0</v>
      </c>
    </row>
    <row r="31" spans="1:106">
      <c r="A31">
        <f>ROW(Source!A36)</f>
        <v>36</v>
      </c>
      <c r="B31">
        <v>34847864</v>
      </c>
      <c r="C31">
        <v>34848006</v>
      </c>
      <c r="D31">
        <v>24233700</v>
      </c>
      <c r="E31">
        <v>1</v>
      </c>
      <c r="F31">
        <v>1</v>
      </c>
      <c r="G31">
        <v>1</v>
      </c>
      <c r="H31">
        <v>1</v>
      </c>
      <c r="I31" t="s">
        <v>295</v>
      </c>
      <c r="J31" t="s">
        <v>3</v>
      </c>
      <c r="K31" t="s">
        <v>296</v>
      </c>
      <c r="L31">
        <v>1476</v>
      </c>
      <c r="N31">
        <v>1013</v>
      </c>
      <c r="O31" t="s">
        <v>263</v>
      </c>
      <c r="P31" t="s">
        <v>264</v>
      </c>
      <c r="Q31">
        <v>1</v>
      </c>
      <c r="W31">
        <v>0</v>
      </c>
      <c r="X31">
        <v>-1013341582</v>
      </c>
      <c r="Y31">
        <v>18.077999999999999</v>
      </c>
      <c r="AA31">
        <v>0</v>
      </c>
      <c r="AB31">
        <v>0</v>
      </c>
      <c r="AC31">
        <v>0</v>
      </c>
      <c r="AD31">
        <v>6.52</v>
      </c>
      <c r="AE31">
        <v>0</v>
      </c>
      <c r="AF31">
        <v>0</v>
      </c>
      <c r="AG31">
        <v>0</v>
      </c>
      <c r="AH31">
        <v>6.52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15.72</v>
      </c>
      <c r="AU31" t="s">
        <v>12</v>
      </c>
      <c r="AV31">
        <v>1</v>
      </c>
      <c r="AW31">
        <v>2</v>
      </c>
      <c r="AX31">
        <v>34848017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Y31*Source!I36</f>
        <v>13.450032</v>
      </c>
      <c r="CY31">
        <f>AD31</f>
        <v>6.52</v>
      </c>
      <c r="CZ31">
        <f>AH31</f>
        <v>6.52</v>
      </c>
      <c r="DA31">
        <f>AL31</f>
        <v>1</v>
      </c>
      <c r="DB31">
        <v>0</v>
      </c>
    </row>
    <row r="32" spans="1:106">
      <c r="A32">
        <f>ROW(Source!A36)</f>
        <v>36</v>
      </c>
      <c r="B32">
        <v>34847864</v>
      </c>
      <c r="C32">
        <v>34848006</v>
      </c>
      <c r="D32">
        <v>121548</v>
      </c>
      <c r="E32">
        <v>1</v>
      </c>
      <c r="F32">
        <v>1</v>
      </c>
      <c r="G32">
        <v>1</v>
      </c>
      <c r="H32">
        <v>1</v>
      </c>
      <c r="I32" t="s">
        <v>23</v>
      </c>
      <c r="J32" t="s">
        <v>3</v>
      </c>
      <c r="K32" t="s">
        <v>265</v>
      </c>
      <c r="L32">
        <v>608254</v>
      </c>
      <c r="N32">
        <v>1013</v>
      </c>
      <c r="O32" t="s">
        <v>266</v>
      </c>
      <c r="P32" t="s">
        <v>266</v>
      </c>
      <c r="Q32">
        <v>1</v>
      </c>
      <c r="W32">
        <v>0</v>
      </c>
      <c r="X32">
        <v>-185737400</v>
      </c>
      <c r="Y32">
        <v>17.350000000000001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13.88</v>
      </c>
      <c r="AU32" t="s">
        <v>11</v>
      </c>
      <c r="AV32">
        <v>2</v>
      </c>
      <c r="AW32">
        <v>2</v>
      </c>
      <c r="AX32">
        <v>34848018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Y32*Source!I36</f>
        <v>12.9084</v>
      </c>
      <c r="CY32">
        <f>AD32</f>
        <v>0</v>
      </c>
      <c r="CZ32">
        <f>AH32</f>
        <v>0</v>
      </c>
      <c r="DA32">
        <f>AL32</f>
        <v>1</v>
      </c>
      <c r="DB32">
        <v>0</v>
      </c>
    </row>
    <row r="33" spans="1:106">
      <c r="A33">
        <f>ROW(Source!A36)</f>
        <v>36</v>
      </c>
      <c r="B33">
        <v>34847864</v>
      </c>
      <c r="C33">
        <v>34848006</v>
      </c>
      <c r="D33">
        <v>26553886</v>
      </c>
      <c r="E33">
        <v>1</v>
      </c>
      <c r="F33">
        <v>1</v>
      </c>
      <c r="G33">
        <v>1</v>
      </c>
      <c r="H33">
        <v>2</v>
      </c>
      <c r="I33" t="s">
        <v>297</v>
      </c>
      <c r="J33" t="s">
        <v>298</v>
      </c>
      <c r="K33" t="s">
        <v>299</v>
      </c>
      <c r="L33">
        <v>26553684</v>
      </c>
      <c r="N33">
        <v>1013</v>
      </c>
      <c r="O33" t="s">
        <v>270</v>
      </c>
      <c r="P33" t="s">
        <v>270</v>
      </c>
      <c r="Q33">
        <v>1</v>
      </c>
      <c r="W33">
        <v>0</v>
      </c>
      <c r="X33">
        <v>-1120646225</v>
      </c>
      <c r="Y33">
        <v>5.3624999999999998</v>
      </c>
      <c r="AA33">
        <v>0</v>
      </c>
      <c r="AB33">
        <v>89.81</v>
      </c>
      <c r="AC33">
        <v>9.8800000000000008</v>
      </c>
      <c r="AD33">
        <v>0</v>
      </c>
      <c r="AE33">
        <v>0</v>
      </c>
      <c r="AF33">
        <v>89.81</v>
      </c>
      <c r="AG33">
        <v>9.8800000000000008</v>
      </c>
      <c r="AH33">
        <v>0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4.29</v>
      </c>
      <c r="AU33" t="s">
        <v>11</v>
      </c>
      <c r="AV33">
        <v>0</v>
      </c>
      <c r="AW33">
        <v>2</v>
      </c>
      <c r="AX33">
        <v>34848019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Y33*Source!I36</f>
        <v>3.9897</v>
      </c>
      <c r="CY33">
        <f>AB33</f>
        <v>89.81</v>
      </c>
      <c r="CZ33">
        <f>AF33</f>
        <v>89.81</v>
      </c>
      <c r="DA33">
        <f>AJ33</f>
        <v>1</v>
      </c>
      <c r="DB33">
        <v>0</v>
      </c>
    </row>
    <row r="34" spans="1:106">
      <c r="A34">
        <f>ROW(Source!A36)</f>
        <v>36</v>
      </c>
      <c r="B34">
        <v>34847864</v>
      </c>
      <c r="C34">
        <v>34848006</v>
      </c>
      <c r="D34">
        <v>26554394</v>
      </c>
      <c r="E34">
        <v>1</v>
      </c>
      <c r="F34">
        <v>1</v>
      </c>
      <c r="G34">
        <v>1</v>
      </c>
      <c r="H34">
        <v>2</v>
      </c>
      <c r="I34" t="s">
        <v>300</v>
      </c>
      <c r="J34" t="s">
        <v>301</v>
      </c>
      <c r="K34" t="s">
        <v>302</v>
      </c>
      <c r="L34">
        <v>26553684</v>
      </c>
      <c r="N34">
        <v>1013</v>
      </c>
      <c r="O34" t="s">
        <v>270</v>
      </c>
      <c r="P34" t="s">
        <v>270</v>
      </c>
      <c r="Q34">
        <v>1</v>
      </c>
      <c r="W34">
        <v>0</v>
      </c>
      <c r="X34">
        <v>-1665323131</v>
      </c>
      <c r="Y34">
        <v>2.2124999999999999</v>
      </c>
      <c r="AA34">
        <v>0</v>
      </c>
      <c r="AB34">
        <v>122.76</v>
      </c>
      <c r="AC34">
        <v>13.26</v>
      </c>
      <c r="AD34">
        <v>0</v>
      </c>
      <c r="AE34">
        <v>0</v>
      </c>
      <c r="AF34">
        <v>122.76</v>
      </c>
      <c r="AG34">
        <v>13.26</v>
      </c>
      <c r="AH34">
        <v>0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1.77</v>
      </c>
      <c r="AU34" t="s">
        <v>11</v>
      </c>
      <c r="AV34">
        <v>0</v>
      </c>
      <c r="AW34">
        <v>2</v>
      </c>
      <c r="AX34">
        <v>34848020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Y34*Source!I36</f>
        <v>1.6460999999999999</v>
      </c>
      <c r="CY34">
        <f>AB34</f>
        <v>122.76</v>
      </c>
      <c r="CZ34">
        <f>AF34</f>
        <v>122.76</v>
      </c>
      <c r="DA34">
        <f>AJ34</f>
        <v>1</v>
      </c>
      <c r="DB34">
        <v>0</v>
      </c>
    </row>
    <row r="35" spans="1:106">
      <c r="A35">
        <f>ROW(Source!A36)</f>
        <v>36</v>
      </c>
      <c r="B35">
        <v>34847864</v>
      </c>
      <c r="C35">
        <v>34848006</v>
      </c>
      <c r="D35">
        <v>26554425</v>
      </c>
      <c r="E35">
        <v>1</v>
      </c>
      <c r="F35">
        <v>1</v>
      </c>
      <c r="G35">
        <v>1</v>
      </c>
      <c r="H35">
        <v>2</v>
      </c>
      <c r="I35" t="s">
        <v>303</v>
      </c>
      <c r="J35" t="s">
        <v>304</v>
      </c>
      <c r="K35" t="s">
        <v>305</v>
      </c>
      <c r="L35">
        <v>26553684</v>
      </c>
      <c r="N35">
        <v>1013</v>
      </c>
      <c r="O35" t="s">
        <v>270</v>
      </c>
      <c r="P35" t="s">
        <v>270</v>
      </c>
      <c r="Q35">
        <v>1</v>
      </c>
      <c r="W35">
        <v>0</v>
      </c>
      <c r="X35">
        <v>1425837406</v>
      </c>
      <c r="Y35">
        <v>8.85</v>
      </c>
      <c r="AA35">
        <v>0</v>
      </c>
      <c r="AB35">
        <v>205.75</v>
      </c>
      <c r="AC35">
        <v>14.14</v>
      </c>
      <c r="AD35">
        <v>0</v>
      </c>
      <c r="AE35">
        <v>0</v>
      </c>
      <c r="AF35">
        <v>205.75</v>
      </c>
      <c r="AG35">
        <v>14.14</v>
      </c>
      <c r="AH35">
        <v>0</v>
      </c>
      <c r="AI35">
        <v>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7.08</v>
      </c>
      <c r="AU35" t="s">
        <v>11</v>
      </c>
      <c r="AV35">
        <v>0</v>
      </c>
      <c r="AW35">
        <v>2</v>
      </c>
      <c r="AX35">
        <v>34848021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Y35*Source!I36</f>
        <v>6.5843999999999996</v>
      </c>
      <c r="CY35">
        <f>AB35</f>
        <v>205.75</v>
      </c>
      <c r="CZ35">
        <f>AF35</f>
        <v>205.75</v>
      </c>
      <c r="DA35">
        <f>AJ35</f>
        <v>1</v>
      </c>
      <c r="DB35">
        <v>0</v>
      </c>
    </row>
    <row r="36" spans="1:106">
      <c r="A36">
        <f>ROW(Source!A36)</f>
        <v>36</v>
      </c>
      <c r="B36">
        <v>34847864</v>
      </c>
      <c r="C36">
        <v>34848006</v>
      </c>
      <c r="D36">
        <v>26554486</v>
      </c>
      <c r="E36">
        <v>1</v>
      </c>
      <c r="F36">
        <v>1</v>
      </c>
      <c r="G36">
        <v>1</v>
      </c>
      <c r="H36">
        <v>2</v>
      </c>
      <c r="I36" t="s">
        <v>289</v>
      </c>
      <c r="J36" t="s">
        <v>290</v>
      </c>
      <c r="K36" t="s">
        <v>291</v>
      </c>
      <c r="L36">
        <v>26553684</v>
      </c>
      <c r="N36">
        <v>1013</v>
      </c>
      <c r="O36" t="s">
        <v>270</v>
      </c>
      <c r="P36" t="s">
        <v>270</v>
      </c>
      <c r="Q36">
        <v>1</v>
      </c>
      <c r="W36">
        <v>0</v>
      </c>
      <c r="X36">
        <v>-1654342457</v>
      </c>
      <c r="Y36">
        <v>0.92500000000000004</v>
      </c>
      <c r="AA36">
        <v>0</v>
      </c>
      <c r="AB36">
        <v>110</v>
      </c>
      <c r="AC36">
        <v>11.38</v>
      </c>
      <c r="AD36">
        <v>0</v>
      </c>
      <c r="AE36">
        <v>0</v>
      </c>
      <c r="AF36">
        <v>110</v>
      </c>
      <c r="AG36">
        <v>11.38</v>
      </c>
      <c r="AH36">
        <v>0</v>
      </c>
      <c r="AI36">
        <v>1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0.74</v>
      </c>
      <c r="AU36" t="s">
        <v>11</v>
      </c>
      <c r="AV36">
        <v>0</v>
      </c>
      <c r="AW36">
        <v>2</v>
      </c>
      <c r="AX36">
        <v>34848022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Y36*Source!I36</f>
        <v>0.68820000000000003</v>
      </c>
      <c r="CY36">
        <f>AB36</f>
        <v>110</v>
      </c>
      <c r="CZ36">
        <f>AF36</f>
        <v>110</v>
      </c>
      <c r="DA36">
        <f>AJ36</f>
        <v>1</v>
      </c>
      <c r="DB36">
        <v>0</v>
      </c>
    </row>
    <row r="37" spans="1:106">
      <c r="A37">
        <f>ROW(Source!A36)</f>
        <v>36</v>
      </c>
      <c r="B37">
        <v>34847864</v>
      </c>
      <c r="C37">
        <v>34848006</v>
      </c>
      <c r="D37">
        <v>26607647</v>
      </c>
      <c r="E37">
        <v>1</v>
      </c>
      <c r="F37">
        <v>1</v>
      </c>
      <c r="G37">
        <v>1</v>
      </c>
      <c r="H37">
        <v>3</v>
      </c>
      <c r="I37" t="s">
        <v>67</v>
      </c>
      <c r="J37" t="s">
        <v>70</v>
      </c>
      <c r="K37" t="s">
        <v>68</v>
      </c>
      <c r="L37">
        <v>1339</v>
      </c>
      <c r="N37">
        <v>1007</v>
      </c>
      <c r="O37" t="s">
        <v>69</v>
      </c>
      <c r="P37" t="s">
        <v>69</v>
      </c>
      <c r="Q37">
        <v>1</v>
      </c>
      <c r="W37">
        <v>0</v>
      </c>
      <c r="X37">
        <v>-215471597</v>
      </c>
      <c r="Y37">
        <v>110</v>
      </c>
      <c r="AA37">
        <v>51.17</v>
      </c>
      <c r="AB37">
        <v>0</v>
      </c>
      <c r="AC37">
        <v>0</v>
      </c>
      <c r="AD37">
        <v>0</v>
      </c>
      <c r="AE37">
        <v>51.17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1</v>
      </c>
      <c r="AO37">
        <v>0</v>
      </c>
      <c r="AP37">
        <v>0</v>
      </c>
      <c r="AQ37">
        <v>0</v>
      </c>
      <c r="AR37">
        <v>0</v>
      </c>
      <c r="AS37" t="s">
        <v>3</v>
      </c>
      <c r="AT37">
        <v>110</v>
      </c>
      <c r="AU37" t="s">
        <v>3</v>
      </c>
      <c r="AV37">
        <v>0</v>
      </c>
      <c r="AW37">
        <v>1</v>
      </c>
      <c r="AX37">
        <v>-1</v>
      </c>
      <c r="AY37">
        <v>0</v>
      </c>
      <c r="AZ37">
        <v>0</v>
      </c>
      <c r="BA37" t="s">
        <v>3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Y37*Source!I36</f>
        <v>81.84</v>
      </c>
      <c r="CY37">
        <f>AA37</f>
        <v>51.17</v>
      </c>
      <c r="CZ37">
        <f>AE37</f>
        <v>51.17</v>
      </c>
      <c r="DA37">
        <f>AI37</f>
        <v>1</v>
      </c>
      <c r="DB37">
        <v>0</v>
      </c>
    </row>
    <row r="38" spans="1:106">
      <c r="A38">
        <f>ROW(Source!A36)</f>
        <v>36</v>
      </c>
      <c r="B38">
        <v>34847864</v>
      </c>
      <c r="C38">
        <v>34848006</v>
      </c>
      <c r="D38">
        <v>26608102</v>
      </c>
      <c r="E38">
        <v>1</v>
      </c>
      <c r="F38">
        <v>1</v>
      </c>
      <c r="G38">
        <v>1</v>
      </c>
      <c r="H38">
        <v>3</v>
      </c>
      <c r="I38" t="s">
        <v>292</v>
      </c>
      <c r="J38" t="s">
        <v>293</v>
      </c>
      <c r="K38" t="s">
        <v>294</v>
      </c>
      <c r="L38">
        <v>1339</v>
      </c>
      <c r="N38">
        <v>1007</v>
      </c>
      <c r="O38" t="s">
        <v>69</v>
      </c>
      <c r="P38" t="s">
        <v>69</v>
      </c>
      <c r="Q38">
        <v>1</v>
      </c>
      <c r="W38">
        <v>0</v>
      </c>
      <c r="X38">
        <v>-1025641989</v>
      </c>
      <c r="Y38">
        <v>5</v>
      </c>
      <c r="AA38">
        <v>2.2599999999999998</v>
      </c>
      <c r="AB38">
        <v>0</v>
      </c>
      <c r="AC38">
        <v>0</v>
      </c>
      <c r="AD38">
        <v>0</v>
      </c>
      <c r="AE38">
        <v>2.2599999999999998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5</v>
      </c>
      <c r="AU38" t="s">
        <v>3</v>
      </c>
      <c r="AV38">
        <v>0</v>
      </c>
      <c r="AW38">
        <v>2</v>
      </c>
      <c r="AX38">
        <v>34848024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Y38*Source!I36</f>
        <v>3.7199999999999998</v>
      </c>
      <c r="CY38">
        <f>AA38</f>
        <v>2.2599999999999998</v>
      </c>
      <c r="CZ38">
        <f>AE38</f>
        <v>2.2599999999999998</v>
      </c>
      <c r="DA38">
        <f>AI38</f>
        <v>1</v>
      </c>
      <c r="DB38">
        <v>0</v>
      </c>
    </row>
    <row r="39" spans="1:106">
      <c r="A39">
        <f>ROW(Source!A37)</f>
        <v>37</v>
      </c>
      <c r="B39">
        <v>34847877</v>
      </c>
      <c r="C39">
        <v>34848006</v>
      </c>
      <c r="D39">
        <v>24233700</v>
      </c>
      <c r="E39">
        <v>1</v>
      </c>
      <c r="F39">
        <v>1</v>
      </c>
      <c r="G39">
        <v>1</v>
      </c>
      <c r="H39">
        <v>1</v>
      </c>
      <c r="I39" t="s">
        <v>295</v>
      </c>
      <c r="J39" t="s">
        <v>3</v>
      </c>
      <c r="K39" t="s">
        <v>296</v>
      </c>
      <c r="L39">
        <v>1476</v>
      </c>
      <c r="N39">
        <v>1013</v>
      </c>
      <c r="O39" t="s">
        <v>263</v>
      </c>
      <c r="P39" t="s">
        <v>264</v>
      </c>
      <c r="Q39">
        <v>1</v>
      </c>
      <c r="W39">
        <v>0</v>
      </c>
      <c r="X39">
        <v>-1013341582</v>
      </c>
      <c r="Y39">
        <v>18.077999999999999</v>
      </c>
      <c r="AA39">
        <v>0</v>
      </c>
      <c r="AB39">
        <v>0</v>
      </c>
      <c r="AC39">
        <v>0</v>
      </c>
      <c r="AD39">
        <v>107.19</v>
      </c>
      <c r="AE39">
        <v>0</v>
      </c>
      <c r="AF39">
        <v>0</v>
      </c>
      <c r="AG39">
        <v>0</v>
      </c>
      <c r="AH39">
        <v>6.52</v>
      </c>
      <c r="AI39">
        <v>1</v>
      </c>
      <c r="AJ39">
        <v>1</v>
      </c>
      <c r="AK39">
        <v>1</v>
      </c>
      <c r="AL39">
        <v>16.440000000000001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15.72</v>
      </c>
      <c r="AU39" t="s">
        <v>12</v>
      </c>
      <c r="AV39">
        <v>1</v>
      </c>
      <c r="AW39">
        <v>2</v>
      </c>
      <c r="AX39">
        <v>34848017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Y39*Source!I37</f>
        <v>13.450032</v>
      </c>
      <c r="CY39">
        <f>AD39</f>
        <v>107.19</v>
      </c>
      <c r="CZ39">
        <f>AH39</f>
        <v>6.52</v>
      </c>
      <c r="DA39">
        <f>AL39</f>
        <v>16.440000000000001</v>
      </c>
      <c r="DB39">
        <v>0</v>
      </c>
    </row>
    <row r="40" spans="1:106">
      <c r="A40">
        <f>ROW(Source!A37)</f>
        <v>37</v>
      </c>
      <c r="B40">
        <v>34847877</v>
      </c>
      <c r="C40">
        <v>34848006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23</v>
      </c>
      <c r="J40" t="s">
        <v>3</v>
      </c>
      <c r="K40" t="s">
        <v>265</v>
      </c>
      <c r="L40">
        <v>608254</v>
      </c>
      <c r="N40">
        <v>1013</v>
      </c>
      <c r="O40" t="s">
        <v>266</v>
      </c>
      <c r="P40" t="s">
        <v>266</v>
      </c>
      <c r="Q40">
        <v>1</v>
      </c>
      <c r="W40">
        <v>0</v>
      </c>
      <c r="X40">
        <v>-185737400</v>
      </c>
      <c r="Y40">
        <v>17.350000000000001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16.440000000000001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13.88</v>
      </c>
      <c r="AU40" t="s">
        <v>11</v>
      </c>
      <c r="AV40">
        <v>2</v>
      </c>
      <c r="AW40">
        <v>2</v>
      </c>
      <c r="AX40">
        <v>34848018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Y40*Source!I37</f>
        <v>12.9084</v>
      </c>
      <c r="CY40">
        <f>AD40</f>
        <v>0</v>
      </c>
      <c r="CZ40">
        <f>AH40</f>
        <v>0</v>
      </c>
      <c r="DA40">
        <f>AL40</f>
        <v>1</v>
      </c>
      <c r="DB40">
        <v>0</v>
      </c>
    </row>
    <row r="41" spans="1:106">
      <c r="A41">
        <f>ROW(Source!A37)</f>
        <v>37</v>
      </c>
      <c r="B41">
        <v>34847877</v>
      </c>
      <c r="C41">
        <v>34848006</v>
      </c>
      <c r="D41">
        <v>26553886</v>
      </c>
      <c r="E41">
        <v>1</v>
      </c>
      <c r="F41">
        <v>1</v>
      </c>
      <c r="G41">
        <v>1</v>
      </c>
      <c r="H41">
        <v>2</v>
      </c>
      <c r="I41" t="s">
        <v>297</v>
      </c>
      <c r="J41" t="s">
        <v>298</v>
      </c>
      <c r="K41" t="s">
        <v>299</v>
      </c>
      <c r="L41">
        <v>26553684</v>
      </c>
      <c r="N41">
        <v>1013</v>
      </c>
      <c r="O41" t="s">
        <v>270</v>
      </c>
      <c r="P41" t="s">
        <v>270</v>
      </c>
      <c r="Q41">
        <v>1</v>
      </c>
      <c r="W41">
        <v>0</v>
      </c>
      <c r="X41">
        <v>-1120646225</v>
      </c>
      <c r="Y41">
        <v>5.3624999999999998</v>
      </c>
      <c r="AA41">
        <v>0</v>
      </c>
      <c r="AB41">
        <v>557.72</v>
      </c>
      <c r="AC41">
        <v>162.43</v>
      </c>
      <c r="AD41">
        <v>0</v>
      </c>
      <c r="AE41">
        <v>0</v>
      </c>
      <c r="AF41">
        <v>89.81</v>
      </c>
      <c r="AG41">
        <v>9.8800000000000008</v>
      </c>
      <c r="AH41">
        <v>0</v>
      </c>
      <c r="AI41">
        <v>1</v>
      </c>
      <c r="AJ41">
        <v>6.21</v>
      </c>
      <c r="AK41">
        <v>16.440000000000001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4.29</v>
      </c>
      <c r="AU41" t="s">
        <v>11</v>
      </c>
      <c r="AV41">
        <v>0</v>
      </c>
      <c r="AW41">
        <v>2</v>
      </c>
      <c r="AX41">
        <v>34848019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Y41*Source!I37</f>
        <v>3.9897</v>
      </c>
      <c r="CY41">
        <f>AB41</f>
        <v>557.72</v>
      </c>
      <c r="CZ41">
        <f>AF41</f>
        <v>89.81</v>
      </c>
      <c r="DA41">
        <f>AJ41</f>
        <v>6.21</v>
      </c>
      <c r="DB41">
        <v>0</v>
      </c>
    </row>
    <row r="42" spans="1:106">
      <c r="A42">
        <f>ROW(Source!A37)</f>
        <v>37</v>
      </c>
      <c r="B42">
        <v>34847877</v>
      </c>
      <c r="C42">
        <v>34848006</v>
      </c>
      <c r="D42">
        <v>26554394</v>
      </c>
      <c r="E42">
        <v>1</v>
      </c>
      <c r="F42">
        <v>1</v>
      </c>
      <c r="G42">
        <v>1</v>
      </c>
      <c r="H42">
        <v>2</v>
      </c>
      <c r="I42" t="s">
        <v>300</v>
      </c>
      <c r="J42" t="s">
        <v>301</v>
      </c>
      <c r="K42" t="s">
        <v>302</v>
      </c>
      <c r="L42">
        <v>26553684</v>
      </c>
      <c r="N42">
        <v>1013</v>
      </c>
      <c r="O42" t="s">
        <v>270</v>
      </c>
      <c r="P42" t="s">
        <v>270</v>
      </c>
      <c r="Q42">
        <v>1</v>
      </c>
      <c r="W42">
        <v>0</v>
      </c>
      <c r="X42">
        <v>-1665323131</v>
      </c>
      <c r="Y42">
        <v>2.2124999999999999</v>
      </c>
      <c r="AA42">
        <v>0</v>
      </c>
      <c r="AB42">
        <v>762.34</v>
      </c>
      <c r="AC42">
        <v>217.99</v>
      </c>
      <c r="AD42">
        <v>0</v>
      </c>
      <c r="AE42">
        <v>0</v>
      </c>
      <c r="AF42">
        <v>122.76</v>
      </c>
      <c r="AG42">
        <v>13.26</v>
      </c>
      <c r="AH42">
        <v>0</v>
      </c>
      <c r="AI42">
        <v>1</v>
      </c>
      <c r="AJ42">
        <v>6.21</v>
      </c>
      <c r="AK42">
        <v>16.440000000000001</v>
      </c>
      <c r="AL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1.77</v>
      </c>
      <c r="AU42" t="s">
        <v>11</v>
      </c>
      <c r="AV42">
        <v>0</v>
      </c>
      <c r="AW42">
        <v>2</v>
      </c>
      <c r="AX42">
        <v>34848020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Y42*Source!I37</f>
        <v>1.6460999999999999</v>
      </c>
      <c r="CY42">
        <f>AB42</f>
        <v>762.34</v>
      </c>
      <c r="CZ42">
        <f>AF42</f>
        <v>122.76</v>
      </c>
      <c r="DA42">
        <f>AJ42</f>
        <v>6.21</v>
      </c>
      <c r="DB42">
        <v>0</v>
      </c>
    </row>
    <row r="43" spans="1:106">
      <c r="A43">
        <f>ROW(Source!A37)</f>
        <v>37</v>
      </c>
      <c r="B43">
        <v>34847877</v>
      </c>
      <c r="C43">
        <v>34848006</v>
      </c>
      <c r="D43">
        <v>26554425</v>
      </c>
      <c r="E43">
        <v>1</v>
      </c>
      <c r="F43">
        <v>1</v>
      </c>
      <c r="G43">
        <v>1</v>
      </c>
      <c r="H43">
        <v>2</v>
      </c>
      <c r="I43" t="s">
        <v>303</v>
      </c>
      <c r="J43" t="s">
        <v>304</v>
      </c>
      <c r="K43" t="s">
        <v>305</v>
      </c>
      <c r="L43">
        <v>26553684</v>
      </c>
      <c r="N43">
        <v>1013</v>
      </c>
      <c r="O43" t="s">
        <v>270</v>
      </c>
      <c r="P43" t="s">
        <v>270</v>
      </c>
      <c r="Q43">
        <v>1</v>
      </c>
      <c r="W43">
        <v>0</v>
      </c>
      <c r="X43">
        <v>1425837406</v>
      </c>
      <c r="Y43">
        <v>8.85</v>
      </c>
      <c r="AA43">
        <v>0</v>
      </c>
      <c r="AB43">
        <v>1277.71</v>
      </c>
      <c r="AC43">
        <v>232.46</v>
      </c>
      <c r="AD43">
        <v>0</v>
      </c>
      <c r="AE43">
        <v>0</v>
      </c>
      <c r="AF43">
        <v>205.75</v>
      </c>
      <c r="AG43">
        <v>14.14</v>
      </c>
      <c r="AH43">
        <v>0</v>
      </c>
      <c r="AI43">
        <v>1</v>
      </c>
      <c r="AJ43">
        <v>6.21</v>
      </c>
      <c r="AK43">
        <v>16.440000000000001</v>
      </c>
      <c r="AL43">
        <v>1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7.08</v>
      </c>
      <c r="AU43" t="s">
        <v>11</v>
      </c>
      <c r="AV43">
        <v>0</v>
      </c>
      <c r="AW43">
        <v>2</v>
      </c>
      <c r="AX43">
        <v>34848021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Y43*Source!I37</f>
        <v>6.5843999999999996</v>
      </c>
      <c r="CY43">
        <f>AB43</f>
        <v>1277.71</v>
      </c>
      <c r="CZ43">
        <f>AF43</f>
        <v>205.75</v>
      </c>
      <c r="DA43">
        <f>AJ43</f>
        <v>6.21</v>
      </c>
      <c r="DB43">
        <v>0</v>
      </c>
    </row>
    <row r="44" spans="1:106">
      <c r="A44">
        <f>ROW(Source!A37)</f>
        <v>37</v>
      </c>
      <c r="B44">
        <v>34847877</v>
      </c>
      <c r="C44">
        <v>34848006</v>
      </c>
      <c r="D44">
        <v>26554486</v>
      </c>
      <c r="E44">
        <v>1</v>
      </c>
      <c r="F44">
        <v>1</v>
      </c>
      <c r="G44">
        <v>1</v>
      </c>
      <c r="H44">
        <v>2</v>
      </c>
      <c r="I44" t="s">
        <v>289</v>
      </c>
      <c r="J44" t="s">
        <v>290</v>
      </c>
      <c r="K44" t="s">
        <v>291</v>
      </c>
      <c r="L44">
        <v>26553684</v>
      </c>
      <c r="N44">
        <v>1013</v>
      </c>
      <c r="O44" t="s">
        <v>270</v>
      </c>
      <c r="P44" t="s">
        <v>270</v>
      </c>
      <c r="Q44">
        <v>1</v>
      </c>
      <c r="W44">
        <v>0</v>
      </c>
      <c r="X44">
        <v>-1654342457</v>
      </c>
      <c r="Y44">
        <v>0.92500000000000004</v>
      </c>
      <c r="AA44">
        <v>0</v>
      </c>
      <c r="AB44">
        <v>683.1</v>
      </c>
      <c r="AC44">
        <v>187.09</v>
      </c>
      <c r="AD44">
        <v>0</v>
      </c>
      <c r="AE44">
        <v>0</v>
      </c>
      <c r="AF44">
        <v>110</v>
      </c>
      <c r="AG44">
        <v>11.38</v>
      </c>
      <c r="AH44">
        <v>0</v>
      </c>
      <c r="AI44">
        <v>1</v>
      </c>
      <c r="AJ44">
        <v>6.21</v>
      </c>
      <c r="AK44">
        <v>16.440000000000001</v>
      </c>
      <c r="AL44">
        <v>1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</v>
      </c>
      <c r="AT44">
        <v>0.74</v>
      </c>
      <c r="AU44" t="s">
        <v>11</v>
      </c>
      <c r="AV44">
        <v>0</v>
      </c>
      <c r="AW44">
        <v>2</v>
      </c>
      <c r="AX44">
        <v>34848022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Y44*Source!I37</f>
        <v>0.68820000000000003</v>
      </c>
      <c r="CY44">
        <f>AB44</f>
        <v>683.1</v>
      </c>
      <c r="CZ44">
        <f>AF44</f>
        <v>110</v>
      </c>
      <c r="DA44">
        <f>AJ44</f>
        <v>6.21</v>
      </c>
      <c r="DB44">
        <v>0</v>
      </c>
    </row>
    <row r="45" spans="1:106">
      <c r="A45">
        <f>ROW(Source!A37)</f>
        <v>37</v>
      </c>
      <c r="B45">
        <v>34847877</v>
      </c>
      <c r="C45">
        <v>34848006</v>
      </c>
      <c r="D45">
        <v>26607647</v>
      </c>
      <c r="E45">
        <v>1</v>
      </c>
      <c r="F45">
        <v>1</v>
      </c>
      <c r="G45">
        <v>1</v>
      </c>
      <c r="H45">
        <v>3</v>
      </c>
      <c r="I45" t="s">
        <v>67</v>
      </c>
      <c r="J45" t="s">
        <v>70</v>
      </c>
      <c r="K45" t="s">
        <v>68</v>
      </c>
      <c r="L45">
        <v>1339</v>
      </c>
      <c r="N45">
        <v>1007</v>
      </c>
      <c r="O45" t="s">
        <v>69</v>
      </c>
      <c r="P45" t="s">
        <v>69</v>
      </c>
      <c r="Q45">
        <v>1</v>
      </c>
      <c r="W45">
        <v>0</v>
      </c>
      <c r="X45">
        <v>-215471597</v>
      </c>
      <c r="Y45">
        <v>110</v>
      </c>
      <c r="AA45">
        <v>301.89999999999998</v>
      </c>
      <c r="AB45">
        <v>0</v>
      </c>
      <c r="AC45">
        <v>0</v>
      </c>
      <c r="AD45">
        <v>0</v>
      </c>
      <c r="AE45">
        <v>51.17</v>
      </c>
      <c r="AF45">
        <v>0</v>
      </c>
      <c r="AG45">
        <v>0</v>
      </c>
      <c r="AH45">
        <v>0</v>
      </c>
      <c r="AI45">
        <v>5.9</v>
      </c>
      <c r="AJ45">
        <v>1</v>
      </c>
      <c r="AK45">
        <v>1</v>
      </c>
      <c r="AL45">
        <v>1</v>
      </c>
      <c r="AN45">
        <v>1</v>
      </c>
      <c r="AO45">
        <v>0</v>
      </c>
      <c r="AP45">
        <v>0</v>
      </c>
      <c r="AQ45">
        <v>0</v>
      </c>
      <c r="AR45">
        <v>0</v>
      </c>
      <c r="AS45" t="s">
        <v>3</v>
      </c>
      <c r="AT45">
        <v>110</v>
      </c>
      <c r="AU45" t="s">
        <v>3</v>
      </c>
      <c r="AV45">
        <v>0</v>
      </c>
      <c r="AW45">
        <v>1</v>
      </c>
      <c r="AX45">
        <v>-1</v>
      </c>
      <c r="AY45">
        <v>0</v>
      </c>
      <c r="AZ45">
        <v>0</v>
      </c>
      <c r="BA45" t="s">
        <v>3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Y45*Source!I37</f>
        <v>81.84</v>
      </c>
      <c r="CY45">
        <f>AA45</f>
        <v>301.89999999999998</v>
      </c>
      <c r="CZ45">
        <f>AE45</f>
        <v>51.17</v>
      </c>
      <c r="DA45">
        <f>AI45</f>
        <v>5.9</v>
      </c>
      <c r="DB45">
        <v>0</v>
      </c>
    </row>
    <row r="46" spans="1:106">
      <c r="A46">
        <f>ROW(Source!A37)</f>
        <v>37</v>
      </c>
      <c r="B46">
        <v>34847877</v>
      </c>
      <c r="C46">
        <v>34848006</v>
      </c>
      <c r="D46">
        <v>26608102</v>
      </c>
      <c r="E46">
        <v>1</v>
      </c>
      <c r="F46">
        <v>1</v>
      </c>
      <c r="G46">
        <v>1</v>
      </c>
      <c r="H46">
        <v>3</v>
      </c>
      <c r="I46" t="s">
        <v>292</v>
      </c>
      <c r="J46" t="s">
        <v>293</v>
      </c>
      <c r="K46" t="s">
        <v>294</v>
      </c>
      <c r="L46">
        <v>1339</v>
      </c>
      <c r="N46">
        <v>1007</v>
      </c>
      <c r="O46" t="s">
        <v>69</v>
      </c>
      <c r="P46" t="s">
        <v>69</v>
      </c>
      <c r="Q46">
        <v>1</v>
      </c>
      <c r="W46">
        <v>0</v>
      </c>
      <c r="X46">
        <v>-1025641989</v>
      </c>
      <c r="Y46">
        <v>5</v>
      </c>
      <c r="AA46">
        <v>13.33</v>
      </c>
      <c r="AB46">
        <v>0</v>
      </c>
      <c r="AC46">
        <v>0</v>
      </c>
      <c r="AD46">
        <v>0</v>
      </c>
      <c r="AE46">
        <v>2.2599999999999998</v>
      </c>
      <c r="AF46">
        <v>0</v>
      </c>
      <c r="AG46">
        <v>0</v>
      </c>
      <c r="AH46">
        <v>0</v>
      </c>
      <c r="AI46">
        <v>5.9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5</v>
      </c>
      <c r="AU46" t="s">
        <v>3</v>
      </c>
      <c r="AV46">
        <v>0</v>
      </c>
      <c r="AW46">
        <v>2</v>
      </c>
      <c r="AX46">
        <v>34848024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Y46*Source!I37</f>
        <v>3.7199999999999998</v>
      </c>
      <c r="CY46">
        <f>AA46</f>
        <v>13.33</v>
      </c>
      <c r="CZ46">
        <f>AE46</f>
        <v>2.2599999999999998</v>
      </c>
      <c r="DA46">
        <f>AI46</f>
        <v>5.9</v>
      </c>
      <c r="DB46">
        <v>0</v>
      </c>
    </row>
    <row r="47" spans="1:106">
      <c r="A47">
        <f>ROW(Source!A40)</f>
        <v>40</v>
      </c>
      <c r="B47">
        <v>34847864</v>
      </c>
      <c r="C47">
        <v>34848026</v>
      </c>
      <c r="D47">
        <v>24233887</v>
      </c>
      <c r="E47">
        <v>1</v>
      </c>
      <c r="F47">
        <v>1</v>
      </c>
      <c r="G47">
        <v>1</v>
      </c>
      <c r="H47">
        <v>1</v>
      </c>
      <c r="I47" t="s">
        <v>306</v>
      </c>
      <c r="J47" t="s">
        <v>3</v>
      </c>
      <c r="K47" t="s">
        <v>307</v>
      </c>
      <c r="L47">
        <v>1476</v>
      </c>
      <c r="N47">
        <v>1013</v>
      </c>
      <c r="O47" t="s">
        <v>263</v>
      </c>
      <c r="P47" t="s">
        <v>264</v>
      </c>
      <c r="Q47">
        <v>1</v>
      </c>
      <c r="W47">
        <v>0</v>
      </c>
      <c r="X47">
        <v>2017347174</v>
      </c>
      <c r="Y47">
        <v>27.8185</v>
      </c>
      <c r="AA47">
        <v>0</v>
      </c>
      <c r="AB47">
        <v>0</v>
      </c>
      <c r="AC47">
        <v>0</v>
      </c>
      <c r="AD47">
        <v>6.58</v>
      </c>
      <c r="AE47">
        <v>0</v>
      </c>
      <c r="AF47">
        <v>0</v>
      </c>
      <c r="AG47">
        <v>0</v>
      </c>
      <c r="AH47">
        <v>6.58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24.19</v>
      </c>
      <c r="AU47" t="s">
        <v>63</v>
      </c>
      <c r="AV47">
        <v>1</v>
      </c>
      <c r="AW47">
        <v>2</v>
      </c>
      <c r="AX47">
        <v>34848027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Y47*Source!I40</f>
        <v>13.797976</v>
      </c>
      <c r="CY47">
        <f>AD47</f>
        <v>6.58</v>
      </c>
      <c r="CZ47">
        <f>AH47</f>
        <v>6.58</v>
      </c>
      <c r="DA47">
        <f>AL47</f>
        <v>1</v>
      </c>
      <c r="DB47">
        <v>0</v>
      </c>
    </row>
    <row r="48" spans="1:106">
      <c r="A48">
        <f>ROW(Source!A40)</f>
        <v>40</v>
      </c>
      <c r="B48">
        <v>34847864</v>
      </c>
      <c r="C48">
        <v>34848026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23</v>
      </c>
      <c r="J48" t="s">
        <v>3</v>
      </c>
      <c r="K48" t="s">
        <v>265</v>
      </c>
      <c r="L48">
        <v>608254</v>
      </c>
      <c r="N48">
        <v>1013</v>
      </c>
      <c r="O48" t="s">
        <v>266</v>
      </c>
      <c r="P48" t="s">
        <v>266</v>
      </c>
      <c r="Q48">
        <v>1</v>
      </c>
      <c r="W48">
        <v>0</v>
      </c>
      <c r="X48">
        <v>-185737400</v>
      </c>
      <c r="Y48">
        <v>25.75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20.6</v>
      </c>
      <c r="AU48" t="s">
        <v>62</v>
      </c>
      <c r="AV48">
        <v>2</v>
      </c>
      <c r="AW48">
        <v>2</v>
      </c>
      <c r="AX48">
        <v>34848028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Y48*Source!I40</f>
        <v>12.772</v>
      </c>
      <c r="CY48">
        <f>AD48</f>
        <v>0</v>
      </c>
      <c r="CZ48">
        <f>AH48</f>
        <v>0</v>
      </c>
      <c r="DA48">
        <f>AL48</f>
        <v>1</v>
      </c>
      <c r="DB48">
        <v>0</v>
      </c>
    </row>
    <row r="49" spans="1:106">
      <c r="A49">
        <f>ROW(Source!A40)</f>
        <v>40</v>
      </c>
      <c r="B49">
        <v>34847864</v>
      </c>
      <c r="C49">
        <v>34848026</v>
      </c>
      <c r="D49">
        <v>26553886</v>
      </c>
      <c r="E49">
        <v>1</v>
      </c>
      <c r="F49">
        <v>1</v>
      </c>
      <c r="G49">
        <v>1</v>
      </c>
      <c r="H49">
        <v>2</v>
      </c>
      <c r="I49" t="s">
        <v>297</v>
      </c>
      <c r="J49" t="s">
        <v>298</v>
      </c>
      <c r="K49" t="s">
        <v>299</v>
      </c>
      <c r="L49">
        <v>26553684</v>
      </c>
      <c r="N49">
        <v>1013</v>
      </c>
      <c r="O49" t="s">
        <v>270</v>
      </c>
      <c r="P49" t="s">
        <v>270</v>
      </c>
      <c r="Q49">
        <v>1</v>
      </c>
      <c r="W49">
        <v>0</v>
      </c>
      <c r="X49">
        <v>-1120646225</v>
      </c>
      <c r="Y49">
        <v>3.0750000000000002</v>
      </c>
      <c r="AA49">
        <v>0</v>
      </c>
      <c r="AB49">
        <v>89.81</v>
      </c>
      <c r="AC49">
        <v>9.8800000000000008</v>
      </c>
      <c r="AD49">
        <v>0</v>
      </c>
      <c r="AE49">
        <v>0</v>
      </c>
      <c r="AF49">
        <v>89.81</v>
      </c>
      <c r="AG49">
        <v>9.8800000000000008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2.46</v>
      </c>
      <c r="AU49" t="s">
        <v>62</v>
      </c>
      <c r="AV49">
        <v>0</v>
      </c>
      <c r="AW49">
        <v>2</v>
      </c>
      <c r="AX49">
        <v>34848029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Y49*Source!I40</f>
        <v>1.5252000000000001</v>
      </c>
      <c r="CY49">
        <f>AB49</f>
        <v>89.81</v>
      </c>
      <c r="CZ49">
        <f>AF49</f>
        <v>89.81</v>
      </c>
      <c r="DA49">
        <f>AJ49</f>
        <v>1</v>
      </c>
      <c r="DB49">
        <v>0</v>
      </c>
    </row>
    <row r="50" spans="1:106">
      <c r="A50">
        <f>ROW(Source!A40)</f>
        <v>40</v>
      </c>
      <c r="B50">
        <v>34847864</v>
      </c>
      <c r="C50">
        <v>34848026</v>
      </c>
      <c r="D50">
        <v>26554179</v>
      </c>
      <c r="E50">
        <v>1</v>
      </c>
      <c r="F50">
        <v>1</v>
      </c>
      <c r="G50">
        <v>1</v>
      </c>
      <c r="H50">
        <v>2</v>
      </c>
      <c r="I50" t="s">
        <v>308</v>
      </c>
      <c r="J50" t="s">
        <v>309</v>
      </c>
      <c r="K50" t="s">
        <v>310</v>
      </c>
      <c r="L50">
        <v>26553684</v>
      </c>
      <c r="N50">
        <v>1013</v>
      </c>
      <c r="O50" t="s">
        <v>270</v>
      </c>
      <c r="P50" t="s">
        <v>270</v>
      </c>
      <c r="Q50">
        <v>1</v>
      </c>
      <c r="W50">
        <v>0</v>
      </c>
      <c r="X50">
        <v>-1268920169</v>
      </c>
      <c r="Y50">
        <v>3.2374999999999998</v>
      </c>
      <c r="AA50">
        <v>0</v>
      </c>
      <c r="AB50">
        <v>79.75</v>
      </c>
      <c r="AC50">
        <v>13.26</v>
      </c>
      <c r="AD50">
        <v>0</v>
      </c>
      <c r="AE50">
        <v>0</v>
      </c>
      <c r="AF50">
        <v>79.75</v>
      </c>
      <c r="AG50">
        <v>13.26</v>
      </c>
      <c r="AH50">
        <v>0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2.59</v>
      </c>
      <c r="AU50" t="s">
        <v>62</v>
      </c>
      <c r="AV50">
        <v>0</v>
      </c>
      <c r="AW50">
        <v>2</v>
      </c>
      <c r="AX50">
        <v>34848030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Y50*Source!I40</f>
        <v>1.6057999999999999</v>
      </c>
      <c r="CY50">
        <f>AB50</f>
        <v>79.75</v>
      </c>
      <c r="CZ50">
        <f>AF50</f>
        <v>79.75</v>
      </c>
      <c r="DA50">
        <f>AJ50</f>
        <v>1</v>
      </c>
      <c r="DB50">
        <v>0</v>
      </c>
    </row>
    <row r="51" spans="1:106">
      <c r="A51">
        <f>ROW(Source!A40)</f>
        <v>40</v>
      </c>
      <c r="B51">
        <v>34847864</v>
      </c>
      <c r="C51">
        <v>34848026</v>
      </c>
      <c r="D51">
        <v>26554394</v>
      </c>
      <c r="E51">
        <v>1</v>
      </c>
      <c r="F51">
        <v>1</v>
      </c>
      <c r="G51">
        <v>1</v>
      </c>
      <c r="H51">
        <v>2</v>
      </c>
      <c r="I51" t="s">
        <v>300</v>
      </c>
      <c r="J51" t="s">
        <v>301</v>
      </c>
      <c r="K51" t="s">
        <v>302</v>
      </c>
      <c r="L51">
        <v>26553684</v>
      </c>
      <c r="N51">
        <v>1013</v>
      </c>
      <c r="O51" t="s">
        <v>270</v>
      </c>
      <c r="P51" t="s">
        <v>270</v>
      </c>
      <c r="Q51">
        <v>1</v>
      </c>
      <c r="W51">
        <v>0</v>
      </c>
      <c r="X51">
        <v>-1665323131</v>
      </c>
      <c r="Y51">
        <v>2.875</v>
      </c>
      <c r="AA51">
        <v>0</v>
      </c>
      <c r="AB51">
        <v>122.76</v>
      </c>
      <c r="AC51">
        <v>13.26</v>
      </c>
      <c r="AD51">
        <v>0</v>
      </c>
      <c r="AE51">
        <v>0</v>
      </c>
      <c r="AF51">
        <v>122.76</v>
      </c>
      <c r="AG51">
        <v>13.26</v>
      </c>
      <c r="AH51">
        <v>0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2.2999999999999998</v>
      </c>
      <c r="AU51" t="s">
        <v>62</v>
      </c>
      <c r="AV51">
        <v>0</v>
      </c>
      <c r="AW51">
        <v>2</v>
      </c>
      <c r="AX51">
        <v>34848031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Y51*Source!I40</f>
        <v>1.4259999999999999</v>
      </c>
      <c r="CY51">
        <f>AB51</f>
        <v>122.76</v>
      </c>
      <c r="CZ51">
        <f>AF51</f>
        <v>122.76</v>
      </c>
      <c r="DA51">
        <f>AJ51</f>
        <v>1</v>
      </c>
      <c r="DB51">
        <v>0</v>
      </c>
    </row>
    <row r="52" spans="1:106">
      <c r="A52">
        <f>ROW(Source!A40)</f>
        <v>40</v>
      </c>
      <c r="B52">
        <v>34847864</v>
      </c>
      <c r="C52">
        <v>34848026</v>
      </c>
      <c r="D52">
        <v>26554425</v>
      </c>
      <c r="E52">
        <v>1</v>
      </c>
      <c r="F52">
        <v>1</v>
      </c>
      <c r="G52">
        <v>1</v>
      </c>
      <c r="H52">
        <v>2</v>
      </c>
      <c r="I52" t="s">
        <v>303</v>
      </c>
      <c r="J52" t="s">
        <v>304</v>
      </c>
      <c r="K52" t="s">
        <v>305</v>
      </c>
      <c r="L52">
        <v>26553684</v>
      </c>
      <c r="N52">
        <v>1013</v>
      </c>
      <c r="O52" t="s">
        <v>270</v>
      </c>
      <c r="P52" t="s">
        <v>270</v>
      </c>
      <c r="Q52">
        <v>1</v>
      </c>
      <c r="W52">
        <v>0</v>
      </c>
      <c r="X52">
        <v>1425837406</v>
      </c>
      <c r="Y52">
        <v>15.262500000000001</v>
      </c>
      <c r="AA52">
        <v>0</v>
      </c>
      <c r="AB52">
        <v>205.75</v>
      </c>
      <c r="AC52">
        <v>14.14</v>
      </c>
      <c r="AD52">
        <v>0</v>
      </c>
      <c r="AE52">
        <v>0</v>
      </c>
      <c r="AF52">
        <v>205.75</v>
      </c>
      <c r="AG52">
        <v>14.14</v>
      </c>
      <c r="AH52">
        <v>0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12.21</v>
      </c>
      <c r="AU52" t="s">
        <v>62</v>
      </c>
      <c r="AV52">
        <v>0</v>
      </c>
      <c r="AW52">
        <v>2</v>
      </c>
      <c r="AX52">
        <v>34848032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Y52*Source!I40</f>
        <v>7.5702000000000007</v>
      </c>
      <c r="CY52">
        <f>AB52</f>
        <v>205.75</v>
      </c>
      <c r="CZ52">
        <f>AF52</f>
        <v>205.75</v>
      </c>
      <c r="DA52">
        <f>AJ52</f>
        <v>1</v>
      </c>
      <c r="DB52">
        <v>0</v>
      </c>
    </row>
    <row r="53" spans="1:106">
      <c r="A53">
        <f>ROW(Source!A40)</f>
        <v>40</v>
      </c>
      <c r="B53">
        <v>34847864</v>
      </c>
      <c r="C53">
        <v>34848026</v>
      </c>
      <c r="D53">
        <v>26554486</v>
      </c>
      <c r="E53">
        <v>1</v>
      </c>
      <c r="F53">
        <v>1</v>
      </c>
      <c r="G53">
        <v>1</v>
      </c>
      <c r="H53">
        <v>2</v>
      </c>
      <c r="I53" t="s">
        <v>289</v>
      </c>
      <c r="J53" t="s">
        <v>290</v>
      </c>
      <c r="K53" t="s">
        <v>291</v>
      </c>
      <c r="L53">
        <v>26553684</v>
      </c>
      <c r="N53">
        <v>1013</v>
      </c>
      <c r="O53" t="s">
        <v>270</v>
      </c>
      <c r="P53" t="s">
        <v>270</v>
      </c>
      <c r="Q53">
        <v>1</v>
      </c>
      <c r="W53">
        <v>0</v>
      </c>
      <c r="X53">
        <v>-1654342457</v>
      </c>
      <c r="Y53">
        <v>1.3</v>
      </c>
      <c r="AA53">
        <v>0</v>
      </c>
      <c r="AB53">
        <v>110</v>
      </c>
      <c r="AC53">
        <v>11.38</v>
      </c>
      <c r="AD53">
        <v>0</v>
      </c>
      <c r="AE53">
        <v>0</v>
      </c>
      <c r="AF53">
        <v>110</v>
      </c>
      <c r="AG53">
        <v>11.38</v>
      </c>
      <c r="AH53">
        <v>0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1.04</v>
      </c>
      <c r="AU53" t="s">
        <v>62</v>
      </c>
      <c r="AV53">
        <v>0</v>
      </c>
      <c r="AW53">
        <v>2</v>
      </c>
      <c r="AX53">
        <v>34848033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Y53*Source!I40</f>
        <v>0.64480000000000004</v>
      </c>
      <c r="CY53">
        <f>AB53</f>
        <v>110</v>
      </c>
      <c r="CZ53">
        <f>AF53</f>
        <v>110</v>
      </c>
      <c r="DA53">
        <f>AJ53</f>
        <v>1</v>
      </c>
      <c r="DB53">
        <v>0</v>
      </c>
    </row>
    <row r="54" spans="1:106">
      <c r="A54">
        <f>ROW(Source!A40)</f>
        <v>40</v>
      </c>
      <c r="B54">
        <v>34847864</v>
      </c>
      <c r="C54">
        <v>34848026</v>
      </c>
      <c r="D54">
        <v>26607577</v>
      </c>
      <c r="E54">
        <v>1</v>
      </c>
      <c r="F54">
        <v>1</v>
      </c>
      <c r="G54">
        <v>1</v>
      </c>
      <c r="H54">
        <v>3</v>
      </c>
      <c r="I54" t="s">
        <v>76</v>
      </c>
      <c r="J54" t="s">
        <v>78</v>
      </c>
      <c r="K54" t="s">
        <v>77</v>
      </c>
      <c r="L54">
        <v>1339</v>
      </c>
      <c r="N54">
        <v>1007</v>
      </c>
      <c r="O54" t="s">
        <v>69</v>
      </c>
      <c r="P54" t="s">
        <v>69</v>
      </c>
      <c r="Q54">
        <v>1</v>
      </c>
      <c r="W54">
        <v>0</v>
      </c>
      <c r="X54">
        <v>-1759077042</v>
      </c>
      <c r="Y54">
        <v>126</v>
      </c>
      <c r="AA54">
        <v>152.44</v>
      </c>
      <c r="AB54">
        <v>0</v>
      </c>
      <c r="AC54">
        <v>0</v>
      </c>
      <c r="AD54">
        <v>0</v>
      </c>
      <c r="AE54">
        <v>152.44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0</v>
      </c>
      <c r="AP54">
        <v>0</v>
      </c>
      <c r="AQ54">
        <v>0</v>
      </c>
      <c r="AR54">
        <v>0</v>
      </c>
      <c r="AS54" t="s">
        <v>3</v>
      </c>
      <c r="AT54">
        <v>126</v>
      </c>
      <c r="AU54" t="s">
        <v>3</v>
      </c>
      <c r="AV54">
        <v>0</v>
      </c>
      <c r="AW54">
        <v>1</v>
      </c>
      <c r="AX54">
        <v>-1</v>
      </c>
      <c r="AY54">
        <v>0</v>
      </c>
      <c r="AZ54">
        <v>0</v>
      </c>
      <c r="BA54" t="s">
        <v>3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Y54*Source!I40</f>
        <v>62.496000000000002</v>
      </c>
      <c r="CY54">
        <f>AA54</f>
        <v>152.44</v>
      </c>
      <c r="CZ54">
        <f>AE54</f>
        <v>152.44</v>
      </c>
      <c r="DA54">
        <f>AI54</f>
        <v>1</v>
      </c>
      <c r="DB54">
        <v>0</v>
      </c>
    </row>
    <row r="55" spans="1:106">
      <c r="A55">
        <f>ROW(Source!A40)</f>
        <v>40</v>
      </c>
      <c r="B55">
        <v>34847864</v>
      </c>
      <c r="C55">
        <v>34848026</v>
      </c>
      <c r="D55">
        <v>26608102</v>
      </c>
      <c r="E55">
        <v>1</v>
      </c>
      <c r="F55">
        <v>1</v>
      </c>
      <c r="G55">
        <v>1</v>
      </c>
      <c r="H55">
        <v>3</v>
      </c>
      <c r="I55" t="s">
        <v>292</v>
      </c>
      <c r="J55" t="s">
        <v>293</v>
      </c>
      <c r="K55" t="s">
        <v>294</v>
      </c>
      <c r="L55">
        <v>1339</v>
      </c>
      <c r="N55">
        <v>1007</v>
      </c>
      <c r="O55" t="s">
        <v>69</v>
      </c>
      <c r="P55" t="s">
        <v>69</v>
      </c>
      <c r="Q55">
        <v>1</v>
      </c>
      <c r="W55">
        <v>0</v>
      </c>
      <c r="X55">
        <v>-1025641989</v>
      </c>
      <c r="Y55">
        <v>7</v>
      </c>
      <c r="AA55">
        <v>2.2599999999999998</v>
      </c>
      <c r="AB55">
        <v>0</v>
      </c>
      <c r="AC55">
        <v>0</v>
      </c>
      <c r="AD55">
        <v>0</v>
      </c>
      <c r="AE55">
        <v>2.2599999999999998</v>
      </c>
      <c r="AF55">
        <v>0</v>
      </c>
      <c r="AG55">
        <v>0</v>
      </c>
      <c r="AH55">
        <v>0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7</v>
      </c>
      <c r="AU55" t="s">
        <v>3</v>
      </c>
      <c r="AV55">
        <v>0</v>
      </c>
      <c r="AW55">
        <v>2</v>
      </c>
      <c r="AX55">
        <v>34848035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Y55*Source!I40</f>
        <v>3.472</v>
      </c>
      <c r="CY55">
        <f>AA55</f>
        <v>2.2599999999999998</v>
      </c>
      <c r="CZ55">
        <f>AE55</f>
        <v>2.2599999999999998</v>
      </c>
      <c r="DA55">
        <f>AI55</f>
        <v>1</v>
      </c>
      <c r="DB55">
        <v>0</v>
      </c>
    </row>
    <row r="56" spans="1:106">
      <c r="A56">
        <f>ROW(Source!A41)</f>
        <v>41</v>
      </c>
      <c r="B56">
        <v>34847877</v>
      </c>
      <c r="C56">
        <v>34848026</v>
      </c>
      <c r="D56">
        <v>24233887</v>
      </c>
      <c r="E56">
        <v>1</v>
      </c>
      <c r="F56">
        <v>1</v>
      </c>
      <c r="G56">
        <v>1</v>
      </c>
      <c r="H56">
        <v>1</v>
      </c>
      <c r="I56" t="s">
        <v>306</v>
      </c>
      <c r="J56" t="s">
        <v>3</v>
      </c>
      <c r="K56" t="s">
        <v>307</v>
      </c>
      <c r="L56">
        <v>1476</v>
      </c>
      <c r="N56">
        <v>1013</v>
      </c>
      <c r="O56" t="s">
        <v>263</v>
      </c>
      <c r="P56" t="s">
        <v>264</v>
      </c>
      <c r="Q56">
        <v>1</v>
      </c>
      <c r="W56">
        <v>0</v>
      </c>
      <c r="X56">
        <v>2017347174</v>
      </c>
      <c r="Y56">
        <v>27.8185</v>
      </c>
      <c r="AA56">
        <v>0</v>
      </c>
      <c r="AB56">
        <v>0</v>
      </c>
      <c r="AC56">
        <v>0</v>
      </c>
      <c r="AD56">
        <v>108.18</v>
      </c>
      <c r="AE56">
        <v>0</v>
      </c>
      <c r="AF56">
        <v>0</v>
      </c>
      <c r="AG56">
        <v>0</v>
      </c>
      <c r="AH56">
        <v>6.58</v>
      </c>
      <c r="AI56">
        <v>1</v>
      </c>
      <c r="AJ56">
        <v>1</v>
      </c>
      <c r="AK56">
        <v>1</v>
      </c>
      <c r="AL56">
        <v>16.440000000000001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24.19</v>
      </c>
      <c r="AU56" t="s">
        <v>63</v>
      </c>
      <c r="AV56">
        <v>1</v>
      </c>
      <c r="AW56">
        <v>2</v>
      </c>
      <c r="AX56">
        <v>34848027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Y56*Source!I41</f>
        <v>13.797976</v>
      </c>
      <c r="CY56">
        <f>AD56</f>
        <v>108.18</v>
      </c>
      <c r="CZ56">
        <f>AH56</f>
        <v>6.58</v>
      </c>
      <c r="DA56">
        <f>AL56</f>
        <v>16.440000000000001</v>
      </c>
      <c r="DB56">
        <v>0</v>
      </c>
    </row>
    <row r="57" spans="1:106">
      <c r="A57">
        <f>ROW(Source!A41)</f>
        <v>41</v>
      </c>
      <c r="B57">
        <v>34847877</v>
      </c>
      <c r="C57">
        <v>34848026</v>
      </c>
      <c r="D57">
        <v>121548</v>
      </c>
      <c r="E57">
        <v>1</v>
      </c>
      <c r="F57">
        <v>1</v>
      </c>
      <c r="G57">
        <v>1</v>
      </c>
      <c r="H57">
        <v>1</v>
      </c>
      <c r="I57" t="s">
        <v>23</v>
      </c>
      <c r="J57" t="s">
        <v>3</v>
      </c>
      <c r="K57" t="s">
        <v>265</v>
      </c>
      <c r="L57">
        <v>608254</v>
      </c>
      <c r="N57">
        <v>1013</v>
      </c>
      <c r="O57" t="s">
        <v>266</v>
      </c>
      <c r="P57" t="s">
        <v>266</v>
      </c>
      <c r="Q57">
        <v>1</v>
      </c>
      <c r="W57">
        <v>0</v>
      </c>
      <c r="X57">
        <v>-185737400</v>
      </c>
      <c r="Y57">
        <v>25.75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1</v>
      </c>
      <c r="AJ57">
        <v>1</v>
      </c>
      <c r="AK57">
        <v>16.440000000000001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20.6</v>
      </c>
      <c r="AU57" t="s">
        <v>62</v>
      </c>
      <c r="AV57">
        <v>2</v>
      </c>
      <c r="AW57">
        <v>2</v>
      </c>
      <c r="AX57">
        <v>34848028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Y57*Source!I41</f>
        <v>12.772</v>
      </c>
      <c r="CY57">
        <f>AD57</f>
        <v>0</v>
      </c>
      <c r="CZ57">
        <f>AH57</f>
        <v>0</v>
      </c>
      <c r="DA57">
        <f>AL57</f>
        <v>1</v>
      </c>
      <c r="DB57">
        <v>0</v>
      </c>
    </row>
    <row r="58" spans="1:106">
      <c r="A58">
        <f>ROW(Source!A41)</f>
        <v>41</v>
      </c>
      <c r="B58">
        <v>34847877</v>
      </c>
      <c r="C58">
        <v>34848026</v>
      </c>
      <c r="D58">
        <v>26553886</v>
      </c>
      <c r="E58">
        <v>1</v>
      </c>
      <c r="F58">
        <v>1</v>
      </c>
      <c r="G58">
        <v>1</v>
      </c>
      <c r="H58">
        <v>2</v>
      </c>
      <c r="I58" t="s">
        <v>297</v>
      </c>
      <c r="J58" t="s">
        <v>298</v>
      </c>
      <c r="K58" t="s">
        <v>299</v>
      </c>
      <c r="L58">
        <v>26553684</v>
      </c>
      <c r="N58">
        <v>1013</v>
      </c>
      <c r="O58" t="s">
        <v>270</v>
      </c>
      <c r="P58" t="s">
        <v>270</v>
      </c>
      <c r="Q58">
        <v>1</v>
      </c>
      <c r="W58">
        <v>0</v>
      </c>
      <c r="X58">
        <v>-1120646225</v>
      </c>
      <c r="Y58">
        <v>3.0750000000000002</v>
      </c>
      <c r="AA58">
        <v>0</v>
      </c>
      <c r="AB58">
        <v>557.72</v>
      </c>
      <c r="AC58">
        <v>162.43</v>
      </c>
      <c r="AD58">
        <v>0</v>
      </c>
      <c r="AE58">
        <v>0</v>
      </c>
      <c r="AF58">
        <v>89.81</v>
      </c>
      <c r="AG58">
        <v>9.8800000000000008</v>
      </c>
      <c r="AH58">
        <v>0</v>
      </c>
      <c r="AI58">
        <v>1</v>
      </c>
      <c r="AJ58">
        <v>6.21</v>
      </c>
      <c r="AK58">
        <v>16.440000000000001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2.46</v>
      </c>
      <c r="AU58" t="s">
        <v>62</v>
      </c>
      <c r="AV58">
        <v>0</v>
      </c>
      <c r="AW58">
        <v>2</v>
      </c>
      <c r="AX58">
        <v>34848029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Y58*Source!I41</f>
        <v>1.5252000000000001</v>
      </c>
      <c r="CY58">
        <f>AB58</f>
        <v>557.72</v>
      </c>
      <c r="CZ58">
        <f>AF58</f>
        <v>89.81</v>
      </c>
      <c r="DA58">
        <f>AJ58</f>
        <v>6.21</v>
      </c>
      <c r="DB58">
        <v>0</v>
      </c>
    </row>
    <row r="59" spans="1:106">
      <c r="A59">
        <f>ROW(Source!A41)</f>
        <v>41</v>
      </c>
      <c r="B59">
        <v>34847877</v>
      </c>
      <c r="C59">
        <v>34848026</v>
      </c>
      <c r="D59">
        <v>26554179</v>
      </c>
      <c r="E59">
        <v>1</v>
      </c>
      <c r="F59">
        <v>1</v>
      </c>
      <c r="G59">
        <v>1</v>
      </c>
      <c r="H59">
        <v>2</v>
      </c>
      <c r="I59" t="s">
        <v>308</v>
      </c>
      <c r="J59" t="s">
        <v>309</v>
      </c>
      <c r="K59" t="s">
        <v>310</v>
      </c>
      <c r="L59">
        <v>26553684</v>
      </c>
      <c r="N59">
        <v>1013</v>
      </c>
      <c r="O59" t="s">
        <v>270</v>
      </c>
      <c r="P59" t="s">
        <v>270</v>
      </c>
      <c r="Q59">
        <v>1</v>
      </c>
      <c r="W59">
        <v>0</v>
      </c>
      <c r="X59">
        <v>-1268920169</v>
      </c>
      <c r="Y59">
        <v>3.2374999999999998</v>
      </c>
      <c r="AA59">
        <v>0</v>
      </c>
      <c r="AB59">
        <v>495.25</v>
      </c>
      <c r="AC59">
        <v>217.99</v>
      </c>
      <c r="AD59">
        <v>0</v>
      </c>
      <c r="AE59">
        <v>0</v>
      </c>
      <c r="AF59">
        <v>79.75</v>
      </c>
      <c r="AG59">
        <v>13.26</v>
      </c>
      <c r="AH59">
        <v>0</v>
      </c>
      <c r="AI59">
        <v>1</v>
      </c>
      <c r="AJ59">
        <v>6.21</v>
      </c>
      <c r="AK59">
        <v>16.440000000000001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2.59</v>
      </c>
      <c r="AU59" t="s">
        <v>62</v>
      </c>
      <c r="AV59">
        <v>0</v>
      </c>
      <c r="AW59">
        <v>2</v>
      </c>
      <c r="AX59">
        <v>34848030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Y59*Source!I41</f>
        <v>1.6057999999999999</v>
      </c>
      <c r="CY59">
        <f>AB59</f>
        <v>495.25</v>
      </c>
      <c r="CZ59">
        <f>AF59</f>
        <v>79.75</v>
      </c>
      <c r="DA59">
        <f>AJ59</f>
        <v>6.21</v>
      </c>
      <c r="DB59">
        <v>0</v>
      </c>
    </row>
    <row r="60" spans="1:106">
      <c r="A60">
        <f>ROW(Source!A41)</f>
        <v>41</v>
      </c>
      <c r="B60">
        <v>34847877</v>
      </c>
      <c r="C60">
        <v>34848026</v>
      </c>
      <c r="D60">
        <v>26554394</v>
      </c>
      <c r="E60">
        <v>1</v>
      </c>
      <c r="F60">
        <v>1</v>
      </c>
      <c r="G60">
        <v>1</v>
      </c>
      <c r="H60">
        <v>2</v>
      </c>
      <c r="I60" t="s">
        <v>300</v>
      </c>
      <c r="J60" t="s">
        <v>301</v>
      </c>
      <c r="K60" t="s">
        <v>302</v>
      </c>
      <c r="L60">
        <v>26553684</v>
      </c>
      <c r="N60">
        <v>1013</v>
      </c>
      <c r="O60" t="s">
        <v>270</v>
      </c>
      <c r="P60" t="s">
        <v>270</v>
      </c>
      <c r="Q60">
        <v>1</v>
      </c>
      <c r="W60">
        <v>0</v>
      </c>
      <c r="X60">
        <v>-1665323131</v>
      </c>
      <c r="Y60">
        <v>2.875</v>
      </c>
      <c r="AA60">
        <v>0</v>
      </c>
      <c r="AB60">
        <v>762.34</v>
      </c>
      <c r="AC60">
        <v>217.99</v>
      </c>
      <c r="AD60">
        <v>0</v>
      </c>
      <c r="AE60">
        <v>0</v>
      </c>
      <c r="AF60">
        <v>122.76</v>
      </c>
      <c r="AG60">
        <v>13.26</v>
      </c>
      <c r="AH60">
        <v>0</v>
      </c>
      <c r="AI60">
        <v>1</v>
      </c>
      <c r="AJ60">
        <v>6.21</v>
      </c>
      <c r="AK60">
        <v>16.440000000000001</v>
      </c>
      <c r="AL60">
        <v>1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2.2999999999999998</v>
      </c>
      <c r="AU60" t="s">
        <v>62</v>
      </c>
      <c r="AV60">
        <v>0</v>
      </c>
      <c r="AW60">
        <v>2</v>
      </c>
      <c r="AX60">
        <v>34848031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Y60*Source!I41</f>
        <v>1.4259999999999999</v>
      </c>
      <c r="CY60">
        <f>AB60</f>
        <v>762.34</v>
      </c>
      <c r="CZ60">
        <f>AF60</f>
        <v>122.76</v>
      </c>
      <c r="DA60">
        <f>AJ60</f>
        <v>6.21</v>
      </c>
      <c r="DB60">
        <v>0</v>
      </c>
    </row>
    <row r="61" spans="1:106">
      <c r="A61">
        <f>ROW(Source!A41)</f>
        <v>41</v>
      </c>
      <c r="B61">
        <v>34847877</v>
      </c>
      <c r="C61">
        <v>34848026</v>
      </c>
      <c r="D61">
        <v>26554425</v>
      </c>
      <c r="E61">
        <v>1</v>
      </c>
      <c r="F61">
        <v>1</v>
      </c>
      <c r="G61">
        <v>1</v>
      </c>
      <c r="H61">
        <v>2</v>
      </c>
      <c r="I61" t="s">
        <v>303</v>
      </c>
      <c r="J61" t="s">
        <v>304</v>
      </c>
      <c r="K61" t="s">
        <v>305</v>
      </c>
      <c r="L61">
        <v>26553684</v>
      </c>
      <c r="N61">
        <v>1013</v>
      </c>
      <c r="O61" t="s">
        <v>270</v>
      </c>
      <c r="P61" t="s">
        <v>270</v>
      </c>
      <c r="Q61">
        <v>1</v>
      </c>
      <c r="W61">
        <v>0</v>
      </c>
      <c r="X61">
        <v>1425837406</v>
      </c>
      <c r="Y61">
        <v>15.262500000000001</v>
      </c>
      <c r="AA61">
        <v>0</v>
      </c>
      <c r="AB61">
        <v>1277.71</v>
      </c>
      <c r="AC61">
        <v>232.46</v>
      </c>
      <c r="AD61">
        <v>0</v>
      </c>
      <c r="AE61">
        <v>0</v>
      </c>
      <c r="AF61">
        <v>205.75</v>
      </c>
      <c r="AG61">
        <v>14.14</v>
      </c>
      <c r="AH61">
        <v>0</v>
      </c>
      <c r="AI61">
        <v>1</v>
      </c>
      <c r="AJ61">
        <v>6.21</v>
      </c>
      <c r="AK61">
        <v>16.440000000000001</v>
      </c>
      <c r="AL61">
        <v>1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3</v>
      </c>
      <c r="AT61">
        <v>12.21</v>
      </c>
      <c r="AU61" t="s">
        <v>62</v>
      </c>
      <c r="AV61">
        <v>0</v>
      </c>
      <c r="AW61">
        <v>2</v>
      </c>
      <c r="AX61">
        <v>34848032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Y61*Source!I41</f>
        <v>7.5702000000000007</v>
      </c>
      <c r="CY61">
        <f>AB61</f>
        <v>1277.71</v>
      </c>
      <c r="CZ61">
        <f>AF61</f>
        <v>205.75</v>
      </c>
      <c r="DA61">
        <f>AJ61</f>
        <v>6.21</v>
      </c>
      <c r="DB61">
        <v>0</v>
      </c>
    </row>
    <row r="62" spans="1:106">
      <c r="A62">
        <f>ROW(Source!A41)</f>
        <v>41</v>
      </c>
      <c r="B62">
        <v>34847877</v>
      </c>
      <c r="C62">
        <v>34848026</v>
      </c>
      <c r="D62">
        <v>26554486</v>
      </c>
      <c r="E62">
        <v>1</v>
      </c>
      <c r="F62">
        <v>1</v>
      </c>
      <c r="G62">
        <v>1</v>
      </c>
      <c r="H62">
        <v>2</v>
      </c>
      <c r="I62" t="s">
        <v>289</v>
      </c>
      <c r="J62" t="s">
        <v>290</v>
      </c>
      <c r="K62" t="s">
        <v>291</v>
      </c>
      <c r="L62">
        <v>26553684</v>
      </c>
      <c r="N62">
        <v>1013</v>
      </c>
      <c r="O62" t="s">
        <v>270</v>
      </c>
      <c r="P62" t="s">
        <v>270</v>
      </c>
      <c r="Q62">
        <v>1</v>
      </c>
      <c r="W62">
        <v>0</v>
      </c>
      <c r="X62">
        <v>-1654342457</v>
      </c>
      <c r="Y62">
        <v>1.3</v>
      </c>
      <c r="AA62">
        <v>0</v>
      </c>
      <c r="AB62">
        <v>683.1</v>
      </c>
      <c r="AC62">
        <v>187.09</v>
      </c>
      <c r="AD62">
        <v>0</v>
      </c>
      <c r="AE62">
        <v>0</v>
      </c>
      <c r="AF62">
        <v>110</v>
      </c>
      <c r="AG62">
        <v>11.38</v>
      </c>
      <c r="AH62">
        <v>0</v>
      </c>
      <c r="AI62">
        <v>1</v>
      </c>
      <c r="AJ62">
        <v>6.21</v>
      </c>
      <c r="AK62">
        <v>16.440000000000001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1.04</v>
      </c>
      <c r="AU62" t="s">
        <v>62</v>
      </c>
      <c r="AV62">
        <v>0</v>
      </c>
      <c r="AW62">
        <v>2</v>
      </c>
      <c r="AX62">
        <v>34848033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Y62*Source!I41</f>
        <v>0.64480000000000004</v>
      </c>
      <c r="CY62">
        <f>AB62</f>
        <v>683.1</v>
      </c>
      <c r="CZ62">
        <f>AF62</f>
        <v>110</v>
      </c>
      <c r="DA62">
        <f>AJ62</f>
        <v>6.21</v>
      </c>
      <c r="DB62">
        <v>0</v>
      </c>
    </row>
    <row r="63" spans="1:106">
      <c r="A63">
        <f>ROW(Source!A41)</f>
        <v>41</v>
      </c>
      <c r="B63">
        <v>34847877</v>
      </c>
      <c r="C63">
        <v>34848026</v>
      </c>
      <c r="D63">
        <v>26607577</v>
      </c>
      <c r="E63">
        <v>1</v>
      </c>
      <c r="F63">
        <v>1</v>
      </c>
      <c r="G63">
        <v>1</v>
      </c>
      <c r="H63">
        <v>3</v>
      </c>
      <c r="I63" t="s">
        <v>76</v>
      </c>
      <c r="J63" t="s">
        <v>78</v>
      </c>
      <c r="K63" t="s">
        <v>77</v>
      </c>
      <c r="L63">
        <v>1339</v>
      </c>
      <c r="N63">
        <v>1007</v>
      </c>
      <c r="O63" t="s">
        <v>69</v>
      </c>
      <c r="P63" t="s">
        <v>69</v>
      </c>
      <c r="Q63">
        <v>1</v>
      </c>
      <c r="W63">
        <v>0</v>
      </c>
      <c r="X63">
        <v>-1759077042</v>
      </c>
      <c r="Y63">
        <v>126</v>
      </c>
      <c r="AA63">
        <v>899.4</v>
      </c>
      <c r="AB63">
        <v>0</v>
      </c>
      <c r="AC63">
        <v>0</v>
      </c>
      <c r="AD63">
        <v>0</v>
      </c>
      <c r="AE63">
        <v>152.44</v>
      </c>
      <c r="AF63">
        <v>0</v>
      </c>
      <c r="AG63">
        <v>0</v>
      </c>
      <c r="AH63">
        <v>0</v>
      </c>
      <c r="AI63">
        <v>5.9</v>
      </c>
      <c r="AJ63">
        <v>1</v>
      </c>
      <c r="AK63">
        <v>1</v>
      </c>
      <c r="AL63">
        <v>1</v>
      </c>
      <c r="AN63">
        <v>0</v>
      </c>
      <c r="AO63">
        <v>0</v>
      </c>
      <c r="AP63">
        <v>0</v>
      </c>
      <c r="AQ63">
        <v>0</v>
      </c>
      <c r="AR63">
        <v>0</v>
      </c>
      <c r="AS63" t="s">
        <v>3</v>
      </c>
      <c r="AT63">
        <v>126</v>
      </c>
      <c r="AU63" t="s">
        <v>3</v>
      </c>
      <c r="AV63">
        <v>0</v>
      </c>
      <c r="AW63">
        <v>1</v>
      </c>
      <c r="AX63">
        <v>-1</v>
      </c>
      <c r="AY63">
        <v>0</v>
      </c>
      <c r="AZ63">
        <v>0</v>
      </c>
      <c r="BA63" t="s">
        <v>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Y63*Source!I41</f>
        <v>62.496000000000002</v>
      </c>
      <c r="CY63">
        <f>AA63</f>
        <v>899.4</v>
      </c>
      <c r="CZ63">
        <f>AE63</f>
        <v>152.44</v>
      </c>
      <c r="DA63">
        <f>AI63</f>
        <v>5.9</v>
      </c>
      <c r="DB63">
        <v>0</v>
      </c>
    </row>
    <row r="64" spans="1:106">
      <c r="A64">
        <f>ROW(Source!A41)</f>
        <v>41</v>
      </c>
      <c r="B64">
        <v>34847877</v>
      </c>
      <c r="C64">
        <v>34848026</v>
      </c>
      <c r="D64">
        <v>26608102</v>
      </c>
      <c r="E64">
        <v>1</v>
      </c>
      <c r="F64">
        <v>1</v>
      </c>
      <c r="G64">
        <v>1</v>
      </c>
      <c r="H64">
        <v>3</v>
      </c>
      <c r="I64" t="s">
        <v>292</v>
      </c>
      <c r="J64" t="s">
        <v>293</v>
      </c>
      <c r="K64" t="s">
        <v>294</v>
      </c>
      <c r="L64">
        <v>1339</v>
      </c>
      <c r="N64">
        <v>1007</v>
      </c>
      <c r="O64" t="s">
        <v>69</v>
      </c>
      <c r="P64" t="s">
        <v>69</v>
      </c>
      <c r="Q64">
        <v>1</v>
      </c>
      <c r="W64">
        <v>0</v>
      </c>
      <c r="X64">
        <v>-1025641989</v>
      </c>
      <c r="Y64">
        <v>7</v>
      </c>
      <c r="AA64">
        <v>13.33</v>
      </c>
      <c r="AB64">
        <v>0</v>
      </c>
      <c r="AC64">
        <v>0</v>
      </c>
      <c r="AD64">
        <v>0</v>
      </c>
      <c r="AE64">
        <v>2.2599999999999998</v>
      </c>
      <c r="AF64">
        <v>0</v>
      </c>
      <c r="AG64">
        <v>0</v>
      </c>
      <c r="AH64">
        <v>0</v>
      </c>
      <c r="AI64">
        <v>5.9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7</v>
      </c>
      <c r="AU64" t="s">
        <v>3</v>
      </c>
      <c r="AV64">
        <v>0</v>
      </c>
      <c r="AW64">
        <v>2</v>
      </c>
      <c r="AX64">
        <v>34848035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Y64*Source!I41</f>
        <v>3.472</v>
      </c>
      <c r="CY64">
        <f>AA64</f>
        <v>13.33</v>
      </c>
      <c r="CZ64">
        <f>AE64</f>
        <v>2.2599999999999998</v>
      </c>
      <c r="DA64">
        <f>AI64</f>
        <v>5.9</v>
      </c>
      <c r="DB64">
        <v>0</v>
      </c>
    </row>
    <row r="65" spans="1:106">
      <c r="A65">
        <f>ROW(Source!A44)</f>
        <v>44</v>
      </c>
      <c r="B65">
        <v>34847864</v>
      </c>
      <c r="C65">
        <v>34849773</v>
      </c>
      <c r="D65">
        <v>24225432</v>
      </c>
      <c r="E65">
        <v>1</v>
      </c>
      <c r="F65">
        <v>1</v>
      </c>
      <c r="G65">
        <v>1</v>
      </c>
      <c r="H65">
        <v>1</v>
      </c>
      <c r="I65" t="s">
        <v>311</v>
      </c>
      <c r="J65" t="s">
        <v>3</v>
      </c>
      <c r="K65" t="s">
        <v>312</v>
      </c>
      <c r="L65">
        <v>1476</v>
      </c>
      <c r="N65">
        <v>1013</v>
      </c>
      <c r="O65" t="s">
        <v>263</v>
      </c>
      <c r="P65" t="s">
        <v>264</v>
      </c>
      <c r="Q65">
        <v>1</v>
      </c>
      <c r="W65">
        <v>0</v>
      </c>
      <c r="X65">
        <v>1477335111</v>
      </c>
      <c r="Y65">
        <v>87.49199999999999</v>
      </c>
      <c r="AA65">
        <v>0</v>
      </c>
      <c r="AB65">
        <v>0</v>
      </c>
      <c r="AC65">
        <v>0</v>
      </c>
      <c r="AD65">
        <v>6.88</v>
      </c>
      <c r="AE65">
        <v>0</v>
      </c>
      <c r="AF65">
        <v>0</v>
      </c>
      <c r="AG65">
        <v>0</v>
      </c>
      <c r="AH65">
        <v>6.88</v>
      </c>
      <c r="AI65">
        <v>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76.08</v>
      </c>
      <c r="AU65" t="s">
        <v>63</v>
      </c>
      <c r="AV65">
        <v>1</v>
      </c>
      <c r="AW65">
        <v>2</v>
      </c>
      <c r="AX65">
        <v>34849774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Y65*Source!I44</f>
        <v>89.416823999999991</v>
      </c>
      <c r="CY65">
        <f>AD65</f>
        <v>6.88</v>
      </c>
      <c r="CZ65">
        <f>AH65</f>
        <v>6.88</v>
      </c>
      <c r="DA65">
        <f>AL65</f>
        <v>1</v>
      </c>
      <c r="DB65">
        <v>0</v>
      </c>
    </row>
    <row r="66" spans="1:106">
      <c r="A66">
        <f>ROW(Source!A44)</f>
        <v>44</v>
      </c>
      <c r="B66">
        <v>34847864</v>
      </c>
      <c r="C66">
        <v>34849773</v>
      </c>
      <c r="D66">
        <v>121548</v>
      </c>
      <c r="E66">
        <v>1</v>
      </c>
      <c r="F66">
        <v>1</v>
      </c>
      <c r="G66">
        <v>1</v>
      </c>
      <c r="H66">
        <v>1</v>
      </c>
      <c r="I66" t="s">
        <v>23</v>
      </c>
      <c r="J66" t="s">
        <v>3</v>
      </c>
      <c r="K66" t="s">
        <v>265</v>
      </c>
      <c r="L66">
        <v>608254</v>
      </c>
      <c r="N66">
        <v>1013</v>
      </c>
      <c r="O66" t="s">
        <v>266</v>
      </c>
      <c r="P66" t="s">
        <v>266</v>
      </c>
      <c r="Q66">
        <v>1</v>
      </c>
      <c r="W66">
        <v>0</v>
      </c>
      <c r="X66">
        <v>-185737400</v>
      </c>
      <c r="Y66">
        <v>0.85000000000000009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0.68</v>
      </c>
      <c r="AU66" t="s">
        <v>62</v>
      </c>
      <c r="AV66">
        <v>2</v>
      </c>
      <c r="AW66">
        <v>2</v>
      </c>
      <c r="AX66">
        <v>34849775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Y66*Source!I44</f>
        <v>0.86870000000000014</v>
      </c>
      <c r="CY66">
        <f>AD66</f>
        <v>0</v>
      </c>
      <c r="CZ66">
        <f>AH66</f>
        <v>0</v>
      </c>
      <c r="DA66">
        <f>AL66</f>
        <v>1</v>
      </c>
      <c r="DB66">
        <v>0</v>
      </c>
    </row>
    <row r="67" spans="1:106">
      <c r="A67">
        <f>ROW(Source!A44)</f>
        <v>44</v>
      </c>
      <c r="B67">
        <v>34847864</v>
      </c>
      <c r="C67">
        <v>34849773</v>
      </c>
      <c r="D67">
        <v>26553813</v>
      </c>
      <c r="E67">
        <v>1</v>
      </c>
      <c r="F67">
        <v>1</v>
      </c>
      <c r="G67">
        <v>1</v>
      </c>
      <c r="H67">
        <v>2</v>
      </c>
      <c r="I67" t="s">
        <v>313</v>
      </c>
      <c r="J67" t="s">
        <v>314</v>
      </c>
      <c r="K67" t="s">
        <v>315</v>
      </c>
      <c r="L67">
        <v>26553684</v>
      </c>
      <c r="N67">
        <v>1013</v>
      </c>
      <c r="O67" t="s">
        <v>270</v>
      </c>
      <c r="P67" t="s">
        <v>270</v>
      </c>
      <c r="Q67">
        <v>1</v>
      </c>
      <c r="W67">
        <v>0</v>
      </c>
      <c r="X67">
        <v>79867837</v>
      </c>
      <c r="Y67">
        <v>0.85000000000000009</v>
      </c>
      <c r="AA67">
        <v>0</v>
      </c>
      <c r="AB67">
        <v>111.75</v>
      </c>
      <c r="AC67">
        <v>13.26</v>
      </c>
      <c r="AD67">
        <v>0</v>
      </c>
      <c r="AE67">
        <v>0</v>
      </c>
      <c r="AF67">
        <v>111.75</v>
      </c>
      <c r="AG67">
        <v>13.26</v>
      </c>
      <c r="AH67">
        <v>0</v>
      </c>
      <c r="AI67">
        <v>1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0.68</v>
      </c>
      <c r="AU67" t="s">
        <v>62</v>
      </c>
      <c r="AV67">
        <v>0</v>
      </c>
      <c r="AW67">
        <v>2</v>
      </c>
      <c r="AX67">
        <v>34849776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Y67*Source!I44</f>
        <v>0.86870000000000014</v>
      </c>
      <c r="CY67">
        <f>AB67</f>
        <v>111.75</v>
      </c>
      <c r="CZ67">
        <f>AF67</f>
        <v>111.75</v>
      </c>
      <c r="DA67">
        <f>AJ67</f>
        <v>1</v>
      </c>
      <c r="DB67">
        <v>0</v>
      </c>
    </row>
    <row r="68" spans="1:106">
      <c r="A68">
        <f>ROW(Source!A44)</f>
        <v>44</v>
      </c>
      <c r="B68">
        <v>34847864</v>
      </c>
      <c r="C68">
        <v>34849773</v>
      </c>
      <c r="D68">
        <v>26555822</v>
      </c>
      <c r="E68">
        <v>1</v>
      </c>
      <c r="F68">
        <v>1</v>
      </c>
      <c r="G68">
        <v>1</v>
      </c>
      <c r="H68">
        <v>2</v>
      </c>
      <c r="I68" t="s">
        <v>316</v>
      </c>
      <c r="J68" t="s">
        <v>317</v>
      </c>
      <c r="K68" t="s">
        <v>318</v>
      </c>
      <c r="L68">
        <v>26553684</v>
      </c>
      <c r="N68">
        <v>1013</v>
      </c>
      <c r="O68" t="s">
        <v>270</v>
      </c>
      <c r="P68" t="s">
        <v>270</v>
      </c>
      <c r="Q68">
        <v>1</v>
      </c>
      <c r="W68">
        <v>0</v>
      </c>
      <c r="X68">
        <v>210745813</v>
      </c>
      <c r="Y68">
        <v>0.05</v>
      </c>
      <c r="AA68">
        <v>0</v>
      </c>
      <c r="AB68">
        <v>86.55</v>
      </c>
      <c r="AC68">
        <v>0</v>
      </c>
      <c r="AD68">
        <v>0</v>
      </c>
      <c r="AE68">
        <v>0</v>
      </c>
      <c r="AF68">
        <v>86.55</v>
      </c>
      <c r="AG68">
        <v>0</v>
      </c>
      <c r="AH68">
        <v>0</v>
      </c>
      <c r="AI68">
        <v>1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0.04</v>
      </c>
      <c r="AU68" t="s">
        <v>62</v>
      </c>
      <c r="AV68">
        <v>0</v>
      </c>
      <c r="AW68">
        <v>2</v>
      </c>
      <c r="AX68">
        <v>34849777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Y68*Source!I44</f>
        <v>5.1100000000000007E-2</v>
      </c>
      <c r="CY68">
        <f>AB68</f>
        <v>86.55</v>
      </c>
      <c r="CZ68">
        <f>AF68</f>
        <v>86.55</v>
      </c>
      <c r="DA68">
        <f>AJ68</f>
        <v>1</v>
      </c>
      <c r="DB68">
        <v>0</v>
      </c>
    </row>
    <row r="69" spans="1:106">
      <c r="A69">
        <f>ROW(Source!A44)</f>
        <v>44</v>
      </c>
      <c r="B69">
        <v>34847864</v>
      </c>
      <c r="C69">
        <v>34849773</v>
      </c>
      <c r="D69">
        <v>26558869</v>
      </c>
      <c r="E69">
        <v>1</v>
      </c>
      <c r="F69">
        <v>1</v>
      </c>
      <c r="G69">
        <v>1</v>
      </c>
      <c r="H69">
        <v>3</v>
      </c>
      <c r="I69" t="s">
        <v>319</v>
      </c>
      <c r="J69" t="s">
        <v>320</v>
      </c>
      <c r="K69" t="s">
        <v>321</v>
      </c>
      <c r="L69">
        <v>1348</v>
      </c>
      <c r="N69">
        <v>1009</v>
      </c>
      <c r="O69" t="s">
        <v>322</v>
      </c>
      <c r="P69" t="s">
        <v>322</v>
      </c>
      <c r="Q69">
        <v>1000</v>
      </c>
      <c r="W69">
        <v>0</v>
      </c>
      <c r="X69">
        <v>-1791058657</v>
      </c>
      <c r="Y69">
        <v>1E-3</v>
      </c>
      <c r="AA69">
        <v>10992.4</v>
      </c>
      <c r="AB69">
        <v>0</v>
      </c>
      <c r="AC69">
        <v>0</v>
      </c>
      <c r="AD69">
        <v>0</v>
      </c>
      <c r="AE69">
        <v>10992.4</v>
      </c>
      <c r="AF69">
        <v>0</v>
      </c>
      <c r="AG69">
        <v>0</v>
      </c>
      <c r="AH69">
        <v>0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1E-3</v>
      </c>
      <c r="AU69" t="s">
        <v>3</v>
      </c>
      <c r="AV69">
        <v>0</v>
      </c>
      <c r="AW69">
        <v>2</v>
      </c>
      <c r="AX69">
        <v>34849778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Y69*Source!I44</f>
        <v>1.0220000000000001E-3</v>
      </c>
      <c r="CY69">
        <f>AA69</f>
        <v>10992.4</v>
      </c>
      <c r="CZ69">
        <f>AE69</f>
        <v>10992.4</v>
      </c>
      <c r="DA69">
        <f>AI69</f>
        <v>1</v>
      </c>
      <c r="DB69">
        <v>0</v>
      </c>
    </row>
    <row r="70" spans="1:106">
      <c r="A70">
        <f>ROW(Source!A44)</f>
        <v>44</v>
      </c>
      <c r="B70">
        <v>34847864</v>
      </c>
      <c r="C70">
        <v>34849773</v>
      </c>
      <c r="D70">
        <v>26565923</v>
      </c>
      <c r="E70">
        <v>1</v>
      </c>
      <c r="F70">
        <v>1</v>
      </c>
      <c r="G70">
        <v>1</v>
      </c>
      <c r="H70">
        <v>3</v>
      </c>
      <c r="I70" t="s">
        <v>323</v>
      </c>
      <c r="J70" t="s">
        <v>324</v>
      </c>
      <c r="K70" t="s">
        <v>325</v>
      </c>
      <c r="L70">
        <v>1339</v>
      </c>
      <c r="N70">
        <v>1007</v>
      </c>
      <c r="O70" t="s">
        <v>69</v>
      </c>
      <c r="P70" t="s">
        <v>69</v>
      </c>
      <c r="Q70">
        <v>1</v>
      </c>
      <c r="W70">
        <v>0</v>
      </c>
      <c r="X70">
        <v>639836162</v>
      </c>
      <c r="Y70">
        <v>0.17</v>
      </c>
      <c r="AA70">
        <v>813.06</v>
      </c>
      <c r="AB70">
        <v>0</v>
      </c>
      <c r="AC70">
        <v>0</v>
      </c>
      <c r="AD70">
        <v>0</v>
      </c>
      <c r="AE70">
        <v>813.06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0.17</v>
      </c>
      <c r="AU70" t="s">
        <v>3</v>
      </c>
      <c r="AV70">
        <v>0</v>
      </c>
      <c r="AW70">
        <v>2</v>
      </c>
      <c r="AX70">
        <v>34849779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Y70*Source!I44</f>
        <v>0.17374000000000001</v>
      </c>
      <c r="CY70">
        <f>AA70</f>
        <v>813.06</v>
      </c>
      <c r="CZ70">
        <f>AE70</f>
        <v>813.06</v>
      </c>
      <c r="DA70">
        <f>AI70</f>
        <v>1</v>
      </c>
      <c r="DB70">
        <v>0</v>
      </c>
    </row>
    <row r="71" spans="1:106">
      <c r="A71">
        <f>ROW(Source!A44)</f>
        <v>44</v>
      </c>
      <c r="B71">
        <v>34847864</v>
      </c>
      <c r="C71">
        <v>34849773</v>
      </c>
      <c r="D71">
        <v>26597173</v>
      </c>
      <c r="E71">
        <v>1</v>
      </c>
      <c r="F71">
        <v>1</v>
      </c>
      <c r="G71">
        <v>1</v>
      </c>
      <c r="H71">
        <v>3</v>
      </c>
      <c r="I71" t="s">
        <v>326</v>
      </c>
      <c r="J71" t="s">
        <v>327</v>
      </c>
      <c r="K71" t="s">
        <v>328</v>
      </c>
      <c r="L71">
        <v>1339</v>
      </c>
      <c r="N71">
        <v>1007</v>
      </c>
      <c r="O71" t="s">
        <v>69</v>
      </c>
      <c r="P71" t="s">
        <v>69</v>
      </c>
      <c r="Q71">
        <v>1</v>
      </c>
      <c r="W71">
        <v>0</v>
      </c>
      <c r="X71">
        <v>-452102078</v>
      </c>
      <c r="Y71">
        <v>5.9</v>
      </c>
      <c r="AA71">
        <v>550.19000000000005</v>
      </c>
      <c r="AB71">
        <v>0</v>
      </c>
      <c r="AC71">
        <v>0</v>
      </c>
      <c r="AD71">
        <v>0</v>
      </c>
      <c r="AE71">
        <v>550.19000000000005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5.9</v>
      </c>
      <c r="AU71" t="s">
        <v>3</v>
      </c>
      <c r="AV71">
        <v>0</v>
      </c>
      <c r="AW71">
        <v>2</v>
      </c>
      <c r="AX71">
        <v>34849780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Y71*Source!I44</f>
        <v>6.0298000000000007</v>
      </c>
      <c r="CY71">
        <f>AA71</f>
        <v>550.19000000000005</v>
      </c>
      <c r="CZ71">
        <f>AE71</f>
        <v>550.19000000000005</v>
      </c>
      <c r="DA71">
        <f>AI71</f>
        <v>1</v>
      </c>
      <c r="DB71">
        <v>0</v>
      </c>
    </row>
    <row r="72" spans="1:106">
      <c r="A72">
        <f>ROW(Source!A44)</f>
        <v>44</v>
      </c>
      <c r="B72">
        <v>34847864</v>
      </c>
      <c r="C72">
        <v>34849773</v>
      </c>
      <c r="D72">
        <v>26597747</v>
      </c>
      <c r="E72">
        <v>1</v>
      </c>
      <c r="F72">
        <v>1</v>
      </c>
      <c r="G72">
        <v>1</v>
      </c>
      <c r="H72">
        <v>3</v>
      </c>
      <c r="I72" t="s">
        <v>329</v>
      </c>
      <c r="J72" t="s">
        <v>330</v>
      </c>
      <c r="K72" t="s">
        <v>331</v>
      </c>
      <c r="L72">
        <v>1339</v>
      </c>
      <c r="N72">
        <v>1007</v>
      </c>
      <c r="O72" t="s">
        <v>69</v>
      </c>
      <c r="P72" t="s">
        <v>69</v>
      </c>
      <c r="Q72">
        <v>1</v>
      </c>
      <c r="W72">
        <v>0</v>
      </c>
      <c r="X72">
        <v>895118465</v>
      </c>
      <c r="Y72">
        <v>0.06</v>
      </c>
      <c r="AA72">
        <v>484.14</v>
      </c>
      <c r="AB72">
        <v>0</v>
      </c>
      <c r="AC72">
        <v>0</v>
      </c>
      <c r="AD72">
        <v>0</v>
      </c>
      <c r="AE72">
        <v>484.14</v>
      </c>
      <c r="AF72">
        <v>0</v>
      </c>
      <c r="AG72">
        <v>0</v>
      </c>
      <c r="AH72">
        <v>0</v>
      </c>
      <c r="AI72">
        <v>1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0.06</v>
      </c>
      <c r="AU72" t="s">
        <v>3</v>
      </c>
      <c r="AV72">
        <v>0</v>
      </c>
      <c r="AW72">
        <v>2</v>
      </c>
      <c r="AX72">
        <v>34849781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Y72*Source!I44</f>
        <v>6.132E-2</v>
      </c>
      <c r="CY72">
        <f>AA72</f>
        <v>484.14</v>
      </c>
      <c r="CZ72">
        <f>AE72</f>
        <v>484.14</v>
      </c>
      <c r="DA72">
        <f>AI72</f>
        <v>1</v>
      </c>
      <c r="DB72">
        <v>0</v>
      </c>
    </row>
    <row r="73" spans="1:106">
      <c r="A73">
        <f>ROW(Source!A44)</f>
        <v>44</v>
      </c>
      <c r="B73">
        <v>34847864</v>
      </c>
      <c r="C73">
        <v>34849773</v>
      </c>
      <c r="D73">
        <v>26605711</v>
      </c>
      <c r="E73">
        <v>1</v>
      </c>
      <c r="F73">
        <v>1</v>
      </c>
      <c r="G73">
        <v>1</v>
      </c>
      <c r="H73">
        <v>3</v>
      </c>
      <c r="I73" t="s">
        <v>85</v>
      </c>
      <c r="J73" t="s">
        <v>88</v>
      </c>
      <c r="K73" t="s">
        <v>86</v>
      </c>
      <c r="L73">
        <v>1354</v>
      </c>
      <c r="N73">
        <v>1010</v>
      </c>
      <c r="O73" t="s">
        <v>87</v>
      </c>
      <c r="P73" t="s">
        <v>87</v>
      </c>
      <c r="Q73">
        <v>1</v>
      </c>
      <c r="W73">
        <v>0</v>
      </c>
      <c r="X73">
        <v>-892694326</v>
      </c>
      <c r="Y73">
        <v>100.782779</v>
      </c>
      <c r="AA73">
        <v>20.71</v>
      </c>
      <c r="AB73">
        <v>0</v>
      </c>
      <c r="AC73">
        <v>0</v>
      </c>
      <c r="AD73">
        <v>0</v>
      </c>
      <c r="AE73">
        <v>20.71</v>
      </c>
      <c r="AF73">
        <v>0</v>
      </c>
      <c r="AG73">
        <v>0</v>
      </c>
      <c r="AH73">
        <v>0</v>
      </c>
      <c r="AI73">
        <v>1</v>
      </c>
      <c r="AJ73">
        <v>1</v>
      </c>
      <c r="AK73">
        <v>1</v>
      </c>
      <c r="AL73">
        <v>1</v>
      </c>
      <c r="AN73">
        <v>1</v>
      </c>
      <c r="AO73">
        <v>0</v>
      </c>
      <c r="AP73">
        <v>0</v>
      </c>
      <c r="AQ73">
        <v>0</v>
      </c>
      <c r="AR73">
        <v>0</v>
      </c>
      <c r="AS73" t="s">
        <v>3</v>
      </c>
      <c r="AT73">
        <v>100.782779</v>
      </c>
      <c r="AU73" t="s">
        <v>3</v>
      </c>
      <c r="AV73">
        <v>0</v>
      </c>
      <c r="AW73">
        <v>1</v>
      </c>
      <c r="AX73">
        <v>-1</v>
      </c>
      <c r="AY73">
        <v>0</v>
      </c>
      <c r="AZ73">
        <v>0</v>
      </c>
      <c r="BA73" t="s">
        <v>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Y73*Source!I44</f>
        <v>103.000000138</v>
      </c>
      <c r="CY73">
        <f>AA73</f>
        <v>20.71</v>
      </c>
      <c r="CZ73">
        <f>AE73</f>
        <v>20.71</v>
      </c>
      <c r="DA73">
        <f>AI73</f>
        <v>1</v>
      </c>
      <c r="DB73">
        <v>0</v>
      </c>
    </row>
    <row r="74" spans="1:106">
      <c r="A74">
        <f>ROW(Source!A45)</f>
        <v>45</v>
      </c>
      <c r="B74">
        <v>34847877</v>
      </c>
      <c r="C74">
        <v>34849773</v>
      </c>
      <c r="D74">
        <v>24225432</v>
      </c>
      <c r="E74">
        <v>1</v>
      </c>
      <c r="F74">
        <v>1</v>
      </c>
      <c r="G74">
        <v>1</v>
      </c>
      <c r="H74">
        <v>1</v>
      </c>
      <c r="I74" t="s">
        <v>311</v>
      </c>
      <c r="J74" t="s">
        <v>3</v>
      </c>
      <c r="K74" t="s">
        <v>312</v>
      </c>
      <c r="L74">
        <v>1476</v>
      </c>
      <c r="N74">
        <v>1013</v>
      </c>
      <c r="O74" t="s">
        <v>263</v>
      </c>
      <c r="P74" t="s">
        <v>264</v>
      </c>
      <c r="Q74">
        <v>1</v>
      </c>
      <c r="W74">
        <v>0</v>
      </c>
      <c r="X74">
        <v>1477335111</v>
      </c>
      <c r="Y74">
        <v>87.49199999999999</v>
      </c>
      <c r="AA74">
        <v>0</v>
      </c>
      <c r="AB74">
        <v>0</v>
      </c>
      <c r="AC74">
        <v>0</v>
      </c>
      <c r="AD74">
        <v>113.11</v>
      </c>
      <c r="AE74">
        <v>0</v>
      </c>
      <c r="AF74">
        <v>0</v>
      </c>
      <c r="AG74">
        <v>0</v>
      </c>
      <c r="AH74">
        <v>6.88</v>
      </c>
      <c r="AI74">
        <v>1</v>
      </c>
      <c r="AJ74">
        <v>1</v>
      </c>
      <c r="AK74">
        <v>1</v>
      </c>
      <c r="AL74">
        <v>16.440000000000001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76.08</v>
      </c>
      <c r="AU74" t="s">
        <v>63</v>
      </c>
      <c r="AV74">
        <v>1</v>
      </c>
      <c r="AW74">
        <v>2</v>
      </c>
      <c r="AX74">
        <v>34849774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Y74*Source!I45</f>
        <v>89.416823999999991</v>
      </c>
      <c r="CY74">
        <f>AD74</f>
        <v>113.11</v>
      </c>
      <c r="CZ74">
        <f>AH74</f>
        <v>6.88</v>
      </c>
      <c r="DA74">
        <f>AL74</f>
        <v>16.440000000000001</v>
      </c>
      <c r="DB74">
        <v>0</v>
      </c>
    </row>
    <row r="75" spans="1:106">
      <c r="A75">
        <f>ROW(Source!A45)</f>
        <v>45</v>
      </c>
      <c r="B75">
        <v>34847877</v>
      </c>
      <c r="C75">
        <v>34849773</v>
      </c>
      <c r="D75">
        <v>121548</v>
      </c>
      <c r="E75">
        <v>1</v>
      </c>
      <c r="F75">
        <v>1</v>
      </c>
      <c r="G75">
        <v>1</v>
      </c>
      <c r="H75">
        <v>1</v>
      </c>
      <c r="I75" t="s">
        <v>23</v>
      </c>
      <c r="J75" t="s">
        <v>3</v>
      </c>
      <c r="K75" t="s">
        <v>265</v>
      </c>
      <c r="L75">
        <v>608254</v>
      </c>
      <c r="N75">
        <v>1013</v>
      </c>
      <c r="O75" t="s">
        <v>266</v>
      </c>
      <c r="P75" t="s">
        <v>266</v>
      </c>
      <c r="Q75">
        <v>1</v>
      </c>
      <c r="W75">
        <v>0</v>
      </c>
      <c r="X75">
        <v>-185737400</v>
      </c>
      <c r="Y75">
        <v>0.85000000000000009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1</v>
      </c>
      <c r="AJ75">
        <v>1</v>
      </c>
      <c r="AK75">
        <v>16.440000000000001</v>
      </c>
      <c r="AL75">
        <v>1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0.68</v>
      </c>
      <c r="AU75" t="s">
        <v>62</v>
      </c>
      <c r="AV75">
        <v>2</v>
      </c>
      <c r="AW75">
        <v>2</v>
      </c>
      <c r="AX75">
        <v>34849775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Y75*Source!I45</f>
        <v>0.86870000000000014</v>
      </c>
      <c r="CY75">
        <f>AD75</f>
        <v>0</v>
      </c>
      <c r="CZ75">
        <f>AH75</f>
        <v>0</v>
      </c>
      <c r="DA75">
        <f>AL75</f>
        <v>1</v>
      </c>
      <c r="DB75">
        <v>0</v>
      </c>
    </row>
    <row r="76" spans="1:106">
      <c r="A76">
        <f>ROW(Source!A45)</f>
        <v>45</v>
      </c>
      <c r="B76">
        <v>34847877</v>
      </c>
      <c r="C76">
        <v>34849773</v>
      </c>
      <c r="D76">
        <v>26553813</v>
      </c>
      <c r="E76">
        <v>1</v>
      </c>
      <c r="F76">
        <v>1</v>
      </c>
      <c r="G76">
        <v>1</v>
      </c>
      <c r="H76">
        <v>2</v>
      </c>
      <c r="I76" t="s">
        <v>313</v>
      </c>
      <c r="J76" t="s">
        <v>314</v>
      </c>
      <c r="K76" t="s">
        <v>315</v>
      </c>
      <c r="L76">
        <v>26553684</v>
      </c>
      <c r="N76">
        <v>1013</v>
      </c>
      <c r="O76" t="s">
        <v>270</v>
      </c>
      <c r="P76" t="s">
        <v>270</v>
      </c>
      <c r="Q76">
        <v>1</v>
      </c>
      <c r="W76">
        <v>0</v>
      </c>
      <c r="X76">
        <v>79867837</v>
      </c>
      <c r="Y76">
        <v>0.85000000000000009</v>
      </c>
      <c r="AA76">
        <v>0</v>
      </c>
      <c r="AB76">
        <v>693.97</v>
      </c>
      <c r="AC76">
        <v>217.99</v>
      </c>
      <c r="AD76">
        <v>0</v>
      </c>
      <c r="AE76">
        <v>0</v>
      </c>
      <c r="AF76">
        <v>111.75</v>
      </c>
      <c r="AG76">
        <v>13.26</v>
      </c>
      <c r="AH76">
        <v>0</v>
      </c>
      <c r="AI76">
        <v>1</v>
      </c>
      <c r="AJ76">
        <v>6.21</v>
      </c>
      <c r="AK76">
        <v>16.440000000000001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0.68</v>
      </c>
      <c r="AU76" t="s">
        <v>62</v>
      </c>
      <c r="AV76">
        <v>0</v>
      </c>
      <c r="AW76">
        <v>2</v>
      </c>
      <c r="AX76">
        <v>34849776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Y76*Source!I45</f>
        <v>0.86870000000000014</v>
      </c>
      <c r="CY76">
        <f>AB76</f>
        <v>693.97</v>
      </c>
      <c r="CZ76">
        <f>AF76</f>
        <v>111.75</v>
      </c>
      <c r="DA76">
        <f>AJ76</f>
        <v>6.21</v>
      </c>
      <c r="DB76">
        <v>0</v>
      </c>
    </row>
    <row r="77" spans="1:106">
      <c r="A77">
        <f>ROW(Source!A45)</f>
        <v>45</v>
      </c>
      <c r="B77">
        <v>34847877</v>
      </c>
      <c r="C77">
        <v>34849773</v>
      </c>
      <c r="D77">
        <v>26555822</v>
      </c>
      <c r="E77">
        <v>1</v>
      </c>
      <c r="F77">
        <v>1</v>
      </c>
      <c r="G77">
        <v>1</v>
      </c>
      <c r="H77">
        <v>2</v>
      </c>
      <c r="I77" t="s">
        <v>316</v>
      </c>
      <c r="J77" t="s">
        <v>317</v>
      </c>
      <c r="K77" t="s">
        <v>318</v>
      </c>
      <c r="L77">
        <v>26553684</v>
      </c>
      <c r="N77">
        <v>1013</v>
      </c>
      <c r="O77" t="s">
        <v>270</v>
      </c>
      <c r="P77" t="s">
        <v>270</v>
      </c>
      <c r="Q77">
        <v>1</v>
      </c>
      <c r="W77">
        <v>0</v>
      </c>
      <c r="X77">
        <v>210745813</v>
      </c>
      <c r="Y77">
        <v>0.05</v>
      </c>
      <c r="AA77">
        <v>0</v>
      </c>
      <c r="AB77">
        <v>537.48</v>
      </c>
      <c r="AC77">
        <v>0</v>
      </c>
      <c r="AD77">
        <v>0</v>
      </c>
      <c r="AE77">
        <v>0</v>
      </c>
      <c r="AF77">
        <v>86.55</v>
      </c>
      <c r="AG77">
        <v>0</v>
      </c>
      <c r="AH77">
        <v>0</v>
      </c>
      <c r="AI77">
        <v>1</v>
      </c>
      <c r="AJ77">
        <v>6.21</v>
      </c>
      <c r="AK77">
        <v>16.440000000000001</v>
      </c>
      <c r="AL77">
        <v>1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</v>
      </c>
      <c r="AT77">
        <v>0.04</v>
      </c>
      <c r="AU77" t="s">
        <v>62</v>
      </c>
      <c r="AV77">
        <v>0</v>
      </c>
      <c r="AW77">
        <v>2</v>
      </c>
      <c r="AX77">
        <v>34849777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Y77*Source!I45</f>
        <v>5.1100000000000007E-2</v>
      </c>
      <c r="CY77">
        <f>AB77</f>
        <v>537.48</v>
      </c>
      <c r="CZ77">
        <f>AF77</f>
        <v>86.55</v>
      </c>
      <c r="DA77">
        <f>AJ77</f>
        <v>6.21</v>
      </c>
      <c r="DB77">
        <v>0</v>
      </c>
    </row>
    <row r="78" spans="1:106">
      <c r="A78">
        <f>ROW(Source!A45)</f>
        <v>45</v>
      </c>
      <c r="B78">
        <v>34847877</v>
      </c>
      <c r="C78">
        <v>34849773</v>
      </c>
      <c r="D78">
        <v>26558869</v>
      </c>
      <c r="E78">
        <v>1</v>
      </c>
      <c r="F78">
        <v>1</v>
      </c>
      <c r="G78">
        <v>1</v>
      </c>
      <c r="H78">
        <v>3</v>
      </c>
      <c r="I78" t="s">
        <v>319</v>
      </c>
      <c r="J78" t="s">
        <v>320</v>
      </c>
      <c r="K78" t="s">
        <v>321</v>
      </c>
      <c r="L78">
        <v>1348</v>
      </c>
      <c r="N78">
        <v>1009</v>
      </c>
      <c r="O78" t="s">
        <v>322</v>
      </c>
      <c r="P78" t="s">
        <v>322</v>
      </c>
      <c r="Q78">
        <v>1000</v>
      </c>
      <c r="W78">
        <v>0</v>
      </c>
      <c r="X78">
        <v>-1791058657</v>
      </c>
      <c r="Y78">
        <v>1E-3</v>
      </c>
      <c r="AA78">
        <v>64855.16</v>
      </c>
      <c r="AB78">
        <v>0</v>
      </c>
      <c r="AC78">
        <v>0</v>
      </c>
      <c r="AD78">
        <v>0</v>
      </c>
      <c r="AE78">
        <v>10992.4</v>
      </c>
      <c r="AF78">
        <v>0</v>
      </c>
      <c r="AG78">
        <v>0</v>
      </c>
      <c r="AH78">
        <v>0</v>
      </c>
      <c r="AI78">
        <v>5.9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1E-3</v>
      </c>
      <c r="AU78" t="s">
        <v>3</v>
      </c>
      <c r="AV78">
        <v>0</v>
      </c>
      <c r="AW78">
        <v>2</v>
      </c>
      <c r="AX78">
        <v>34849778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Y78*Source!I45</f>
        <v>1.0220000000000001E-3</v>
      </c>
      <c r="CY78">
        <f>AA78</f>
        <v>64855.16</v>
      </c>
      <c r="CZ78">
        <f>AE78</f>
        <v>10992.4</v>
      </c>
      <c r="DA78">
        <f>AI78</f>
        <v>5.9</v>
      </c>
      <c r="DB78">
        <v>0</v>
      </c>
    </row>
    <row r="79" spans="1:106">
      <c r="A79">
        <f>ROW(Source!A45)</f>
        <v>45</v>
      </c>
      <c r="B79">
        <v>34847877</v>
      </c>
      <c r="C79">
        <v>34849773</v>
      </c>
      <c r="D79">
        <v>26565923</v>
      </c>
      <c r="E79">
        <v>1</v>
      </c>
      <c r="F79">
        <v>1</v>
      </c>
      <c r="G79">
        <v>1</v>
      </c>
      <c r="H79">
        <v>3</v>
      </c>
      <c r="I79" t="s">
        <v>323</v>
      </c>
      <c r="J79" t="s">
        <v>324</v>
      </c>
      <c r="K79" t="s">
        <v>325</v>
      </c>
      <c r="L79">
        <v>1339</v>
      </c>
      <c r="N79">
        <v>1007</v>
      </c>
      <c r="O79" t="s">
        <v>69</v>
      </c>
      <c r="P79" t="s">
        <v>69</v>
      </c>
      <c r="Q79">
        <v>1</v>
      </c>
      <c r="W79">
        <v>0</v>
      </c>
      <c r="X79">
        <v>639836162</v>
      </c>
      <c r="Y79">
        <v>0.17</v>
      </c>
      <c r="AA79">
        <v>4797.05</v>
      </c>
      <c r="AB79">
        <v>0</v>
      </c>
      <c r="AC79">
        <v>0</v>
      </c>
      <c r="AD79">
        <v>0</v>
      </c>
      <c r="AE79">
        <v>813.06</v>
      </c>
      <c r="AF79">
        <v>0</v>
      </c>
      <c r="AG79">
        <v>0</v>
      </c>
      <c r="AH79">
        <v>0</v>
      </c>
      <c r="AI79">
        <v>5.9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0.17</v>
      </c>
      <c r="AU79" t="s">
        <v>3</v>
      </c>
      <c r="AV79">
        <v>0</v>
      </c>
      <c r="AW79">
        <v>2</v>
      </c>
      <c r="AX79">
        <v>34849779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Y79*Source!I45</f>
        <v>0.17374000000000001</v>
      </c>
      <c r="CY79">
        <f>AA79</f>
        <v>4797.05</v>
      </c>
      <c r="CZ79">
        <f>AE79</f>
        <v>813.06</v>
      </c>
      <c r="DA79">
        <f>AI79</f>
        <v>5.9</v>
      </c>
      <c r="DB79">
        <v>0</v>
      </c>
    </row>
    <row r="80" spans="1:106">
      <c r="A80">
        <f>ROW(Source!A45)</f>
        <v>45</v>
      </c>
      <c r="B80">
        <v>34847877</v>
      </c>
      <c r="C80">
        <v>34849773</v>
      </c>
      <c r="D80">
        <v>26597173</v>
      </c>
      <c r="E80">
        <v>1</v>
      </c>
      <c r="F80">
        <v>1</v>
      </c>
      <c r="G80">
        <v>1</v>
      </c>
      <c r="H80">
        <v>3</v>
      </c>
      <c r="I80" t="s">
        <v>326</v>
      </c>
      <c r="J80" t="s">
        <v>327</v>
      </c>
      <c r="K80" t="s">
        <v>328</v>
      </c>
      <c r="L80">
        <v>1339</v>
      </c>
      <c r="N80">
        <v>1007</v>
      </c>
      <c r="O80" t="s">
        <v>69</v>
      </c>
      <c r="P80" t="s">
        <v>69</v>
      </c>
      <c r="Q80">
        <v>1</v>
      </c>
      <c r="W80">
        <v>0</v>
      </c>
      <c r="X80">
        <v>-452102078</v>
      </c>
      <c r="Y80">
        <v>5.9</v>
      </c>
      <c r="AA80">
        <v>3246.12</v>
      </c>
      <c r="AB80">
        <v>0</v>
      </c>
      <c r="AC80">
        <v>0</v>
      </c>
      <c r="AD80">
        <v>0</v>
      </c>
      <c r="AE80">
        <v>550.19000000000005</v>
      </c>
      <c r="AF80">
        <v>0</v>
      </c>
      <c r="AG80">
        <v>0</v>
      </c>
      <c r="AH80">
        <v>0</v>
      </c>
      <c r="AI80">
        <v>5.9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5.9</v>
      </c>
      <c r="AU80" t="s">
        <v>3</v>
      </c>
      <c r="AV80">
        <v>0</v>
      </c>
      <c r="AW80">
        <v>2</v>
      </c>
      <c r="AX80">
        <v>34849780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Y80*Source!I45</f>
        <v>6.0298000000000007</v>
      </c>
      <c r="CY80">
        <f>AA80</f>
        <v>3246.12</v>
      </c>
      <c r="CZ80">
        <f>AE80</f>
        <v>550.19000000000005</v>
      </c>
      <c r="DA80">
        <f>AI80</f>
        <v>5.9</v>
      </c>
      <c r="DB80">
        <v>0</v>
      </c>
    </row>
    <row r="81" spans="1:106">
      <c r="A81">
        <f>ROW(Source!A45)</f>
        <v>45</v>
      </c>
      <c r="B81">
        <v>34847877</v>
      </c>
      <c r="C81">
        <v>34849773</v>
      </c>
      <c r="D81">
        <v>26597747</v>
      </c>
      <c r="E81">
        <v>1</v>
      </c>
      <c r="F81">
        <v>1</v>
      </c>
      <c r="G81">
        <v>1</v>
      </c>
      <c r="H81">
        <v>3</v>
      </c>
      <c r="I81" t="s">
        <v>329</v>
      </c>
      <c r="J81" t="s">
        <v>330</v>
      </c>
      <c r="K81" t="s">
        <v>331</v>
      </c>
      <c r="L81">
        <v>1339</v>
      </c>
      <c r="N81">
        <v>1007</v>
      </c>
      <c r="O81" t="s">
        <v>69</v>
      </c>
      <c r="P81" t="s">
        <v>69</v>
      </c>
      <c r="Q81">
        <v>1</v>
      </c>
      <c r="W81">
        <v>0</v>
      </c>
      <c r="X81">
        <v>895118465</v>
      </c>
      <c r="Y81">
        <v>0.06</v>
      </c>
      <c r="AA81">
        <v>2856.43</v>
      </c>
      <c r="AB81">
        <v>0</v>
      </c>
      <c r="AC81">
        <v>0</v>
      </c>
      <c r="AD81">
        <v>0</v>
      </c>
      <c r="AE81">
        <v>484.14</v>
      </c>
      <c r="AF81">
        <v>0</v>
      </c>
      <c r="AG81">
        <v>0</v>
      </c>
      <c r="AH81">
        <v>0</v>
      </c>
      <c r="AI81">
        <v>5.9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0.06</v>
      </c>
      <c r="AU81" t="s">
        <v>3</v>
      </c>
      <c r="AV81">
        <v>0</v>
      </c>
      <c r="AW81">
        <v>2</v>
      </c>
      <c r="AX81">
        <v>34849781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Y81*Source!I45</f>
        <v>6.132E-2</v>
      </c>
      <c r="CY81">
        <f>AA81</f>
        <v>2856.43</v>
      </c>
      <c r="CZ81">
        <f>AE81</f>
        <v>484.14</v>
      </c>
      <c r="DA81">
        <f>AI81</f>
        <v>5.9</v>
      </c>
      <c r="DB81">
        <v>0</v>
      </c>
    </row>
    <row r="82" spans="1:106">
      <c r="A82">
        <f>ROW(Source!A45)</f>
        <v>45</v>
      </c>
      <c r="B82">
        <v>34847877</v>
      </c>
      <c r="C82">
        <v>34849773</v>
      </c>
      <c r="D82">
        <v>26605711</v>
      </c>
      <c r="E82">
        <v>1</v>
      </c>
      <c r="F82">
        <v>1</v>
      </c>
      <c r="G82">
        <v>1</v>
      </c>
      <c r="H82">
        <v>3</v>
      </c>
      <c r="I82" t="s">
        <v>85</v>
      </c>
      <c r="J82" t="s">
        <v>88</v>
      </c>
      <c r="K82" t="s">
        <v>86</v>
      </c>
      <c r="L82">
        <v>1354</v>
      </c>
      <c r="N82">
        <v>1010</v>
      </c>
      <c r="O82" t="s">
        <v>87</v>
      </c>
      <c r="P82" t="s">
        <v>87</v>
      </c>
      <c r="Q82">
        <v>1</v>
      </c>
      <c r="W82">
        <v>0</v>
      </c>
      <c r="X82">
        <v>-892694326</v>
      </c>
      <c r="Y82">
        <v>100.782779</v>
      </c>
      <c r="AA82">
        <v>122.19</v>
      </c>
      <c r="AB82">
        <v>0</v>
      </c>
      <c r="AC82">
        <v>0</v>
      </c>
      <c r="AD82">
        <v>0</v>
      </c>
      <c r="AE82">
        <v>20.71</v>
      </c>
      <c r="AF82">
        <v>0</v>
      </c>
      <c r="AG82">
        <v>0</v>
      </c>
      <c r="AH82">
        <v>0</v>
      </c>
      <c r="AI82">
        <v>5.9</v>
      </c>
      <c r="AJ82">
        <v>1</v>
      </c>
      <c r="AK82">
        <v>1</v>
      </c>
      <c r="AL82">
        <v>1</v>
      </c>
      <c r="AN82">
        <v>1</v>
      </c>
      <c r="AO82">
        <v>0</v>
      </c>
      <c r="AP82">
        <v>0</v>
      </c>
      <c r="AQ82">
        <v>0</v>
      </c>
      <c r="AR82">
        <v>0</v>
      </c>
      <c r="AS82" t="s">
        <v>3</v>
      </c>
      <c r="AT82">
        <v>100.782779</v>
      </c>
      <c r="AU82" t="s">
        <v>3</v>
      </c>
      <c r="AV82">
        <v>0</v>
      </c>
      <c r="AW82">
        <v>1</v>
      </c>
      <c r="AX82">
        <v>-1</v>
      </c>
      <c r="AY82">
        <v>0</v>
      </c>
      <c r="AZ82">
        <v>0</v>
      </c>
      <c r="BA82" t="s">
        <v>3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Y82*Source!I45</f>
        <v>103.000000138</v>
      </c>
      <c r="CY82">
        <f>AA82</f>
        <v>122.19</v>
      </c>
      <c r="CZ82">
        <f>AE82</f>
        <v>20.71</v>
      </c>
      <c r="DA82">
        <f>AI82</f>
        <v>5.9</v>
      </c>
      <c r="DB82">
        <v>0</v>
      </c>
    </row>
    <row r="83" spans="1:106">
      <c r="A83">
        <f>ROW(Source!A48)</f>
        <v>48</v>
      </c>
      <c r="B83">
        <v>34847864</v>
      </c>
      <c r="C83">
        <v>34849788</v>
      </c>
      <c r="D83">
        <v>24288154</v>
      </c>
      <c r="E83">
        <v>1</v>
      </c>
      <c r="F83">
        <v>1</v>
      </c>
      <c r="G83">
        <v>1</v>
      </c>
      <c r="H83">
        <v>1</v>
      </c>
      <c r="I83" t="s">
        <v>332</v>
      </c>
      <c r="J83" t="s">
        <v>3</v>
      </c>
      <c r="K83" t="s">
        <v>333</v>
      </c>
      <c r="L83">
        <v>1476</v>
      </c>
      <c r="N83">
        <v>1013</v>
      </c>
      <c r="O83" t="s">
        <v>263</v>
      </c>
      <c r="P83" t="s">
        <v>264</v>
      </c>
      <c r="Q83">
        <v>1</v>
      </c>
      <c r="W83">
        <v>0</v>
      </c>
      <c r="X83">
        <v>-1949506561</v>
      </c>
      <c r="Y83">
        <v>111.78</v>
      </c>
      <c r="AA83">
        <v>0</v>
      </c>
      <c r="AB83">
        <v>0</v>
      </c>
      <c r="AC83">
        <v>0</v>
      </c>
      <c r="AD83">
        <v>6.1</v>
      </c>
      <c r="AE83">
        <v>0</v>
      </c>
      <c r="AF83">
        <v>0</v>
      </c>
      <c r="AG83">
        <v>0</v>
      </c>
      <c r="AH83">
        <v>6.1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</v>
      </c>
      <c r="AT83">
        <v>97.2</v>
      </c>
      <c r="AU83" t="s">
        <v>63</v>
      </c>
      <c r="AV83">
        <v>1</v>
      </c>
      <c r="AW83">
        <v>2</v>
      </c>
      <c r="AX83">
        <v>34849789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Y83*Source!I48</f>
        <v>2.2356000000000003</v>
      </c>
      <c r="CY83">
        <f>AD83</f>
        <v>6.1</v>
      </c>
      <c r="CZ83">
        <f>AH83</f>
        <v>6.1</v>
      </c>
      <c r="DA83">
        <f>AL83</f>
        <v>1</v>
      </c>
      <c r="DB83">
        <v>0</v>
      </c>
    </row>
    <row r="84" spans="1:106">
      <c r="A84">
        <f>ROW(Source!A49)</f>
        <v>49</v>
      </c>
      <c r="B84">
        <v>34847877</v>
      </c>
      <c r="C84">
        <v>34849788</v>
      </c>
      <c r="D84">
        <v>24288154</v>
      </c>
      <c r="E84">
        <v>1</v>
      </c>
      <c r="F84">
        <v>1</v>
      </c>
      <c r="G84">
        <v>1</v>
      </c>
      <c r="H84">
        <v>1</v>
      </c>
      <c r="I84" t="s">
        <v>332</v>
      </c>
      <c r="J84" t="s">
        <v>3</v>
      </c>
      <c r="K84" t="s">
        <v>333</v>
      </c>
      <c r="L84">
        <v>1476</v>
      </c>
      <c r="N84">
        <v>1013</v>
      </c>
      <c r="O84" t="s">
        <v>263</v>
      </c>
      <c r="P84" t="s">
        <v>264</v>
      </c>
      <c r="Q84">
        <v>1</v>
      </c>
      <c r="W84">
        <v>0</v>
      </c>
      <c r="X84">
        <v>-1949506561</v>
      </c>
      <c r="Y84">
        <v>111.78</v>
      </c>
      <c r="AA84">
        <v>0</v>
      </c>
      <c r="AB84">
        <v>0</v>
      </c>
      <c r="AC84">
        <v>0</v>
      </c>
      <c r="AD84">
        <v>100.28</v>
      </c>
      <c r="AE84">
        <v>0</v>
      </c>
      <c r="AF84">
        <v>0</v>
      </c>
      <c r="AG84">
        <v>0</v>
      </c>
      <c r="AH84">
        <v>6.1</v>
      </c>
      <c r="AI84">
        <v>1</v>
      </c>
      <c r="AJ84">
        <v>1</v>
      </c>
      <c r="AK84">
        <v>1</v>
      </c>
      <c r="AL84">
        <v>16.440000000000001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</v>
      </c>
      <c r="AT84">
        <v>97.2</v>
      </c>
      <c r="AU84" t="s">
        <v>63</v>
      </c>
      <c r="AV84">
        <v>1</v>
      </c>
      <c r="AW84">
        <v>2</v>
      </c>
      <c r="AX84">
        <v>34849789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Y84*Source!I49</f>
        <v>2.2356000000000003</v>
      </c>
      <c r="CY84">
        <f>AD84</f>
        <v>100.28</v>
      </c>
      <c r="CZ84">
        <f>AH84</f>
        <v>6.1</v>
      </c>
      <c r="DA84">
        <f>AL84</f>
        <v>16.440000000000001</v>
      </c>
      <c r="DB84">
        <v>0</v>
      </c>
    </row>
    <row r="85" spans="1:106">
      <c r="A85">
        <f>ROW(Source!A50)</f>
        <v>50</v>
      </c>
      <c r="B85">
        <v>34847864</v>
      </c>
      <c r="C85">
        <v>34850459</v>
      </c>
      <c r="D85">
        <v>24225706</v>
      </c>
      <c r="E85">
        <v>1</v>
      </c>
      <c r="F85">
        <v>1</v>
      </c>
      <c r="G85">
        <v>1</v>
      </c>
      <c r="H85">
        <v>1</v>
      </c>
      <c r="I85" t="s">
        <v>334</v>
      </c>
      <c r="J85" t="s">
        <v>3</v>
      </c>
      <c r="K85" t="s">
        <v>335</v>
      </c>
      <c r="L85">
        <v>1476</v>
      </c>
      <c r="N85">
        <v>1013</v>
      </c>
      <c r="O85" t="s">
        <v>263</v>
      </c>
      <c r="P85" t="s">
        <v>264</v>
      </c>
      <c r="Q85">
        <v>1</v>
      </c>
      <c r="W85">
        <v>0</v>
      </c>
      <c r="X85">
        <v>-295123421</v>
      </c>
      <c r="Y85">
        <v>48.76</v>
      </c>
      <c r="AA85">
        <v>0</v>
      </c>
      <c r="AB85">
        <v>0</v>
      </c>
      <c r="AC85">
        <v>0</v>
      </c>
      <c r="AD85">
        <v>6.65</v>
      </c>
      <c r="AE85">
        <v>0</v>
      </c>
      <c r="AF85">
        <v>0</v>
      </c>
      <c r="AG85">
        <v>0</v>
      </c>
      <c r="AH85">
        <v>6.65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42.4</v>
      </c>
      <c r="AU85" t="s">
        <v>63</v>
      </c>
      <c r="AV85">
        <v>1</v>
      </c>
      <c r="AW85">
        <v>2</v>
      </c>
      <c r="AX85">
        <v>34850460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Y85*Source!I50</f>
        <v>236.55913999999999</v>
      </c>
      <c r="CY85">
        <f>AD85</f>
        <v>6.65</v>
      </c>
      <c r="CZ85">
        <f>AH85</f>
        <v>6.65</v>
      </c>
      <c r="DA85">
        <f>AL85</f>
        <v>1</v>
      </c>
      <c r="DB85">
        <v>0</v>
      </c>
    </row>
    <row r="86" spans="1:106">
      <c r="A86">
        <f>ROW(Source!A50)</f>
        <v>50</v>
      </c>
      <c r="B86">
        <v>34847864</v>
      </c>
      <c r="C86">
        <v>34850459</v>
      </c>
      <c r="D86">
        <v>121548</v>
      </c>
      <c r="E86">
        <v>1</v>
      </c>
      <c r="F86">
        <v>1</v>
      </c>
      <c r="G86">
        <v>1</v>
      </c>
      <c r="H86">
        <v>1</v>
      </c>
      <c r="I86" t="s">
        <v>23</v>
      </c>
      <c r="J86" t="s">
        <v>3</v>
      </c>
      <c r="K86" t="s">
        <v>265</v>
      </c>
      <c r="L86">
        <v>608254</v>
      </c>
      <c r="N86">
        <v>1013</v>
      </c>
      <c r="O86" t="s">
        <v>266</v>
      </c>
      <c r="P86" t="s">
        <v>266</v>
      </c>
      <c r="Q86">
        <v>1</v>
      </c>
      <c r="W86">
        <v>0</v>
      </c>
      <c r="X86">
        <v>-185737400</v>
      </c>
      <c r="Y86">
        <v>0.52500000000000002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0.42</v>
      </c>
      <c r="AU86" t="s">
        <v>62</v>
      </c>
      <c r="AV86">
        <v>2</v>
      </c>
      <c r="AW86">
        <v>2</v>
      </c>
      <c r="AX86">
        <v>34850461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Y86*Source!I50</f>
        <v>2.5470375000000001</v>
      </c>
      <c r="CY86">
        <f>AD86</f>
        <v>0</v>
      </c>
      <c r="CZ86">
        <f>AH86</f>
        <v>0</v>
      </c>
      <c r="DA86">
        <f>AL86</f>
        <v>1</v>
      </c>
      <c r="DB86">
        <v>0</v>
      </c>
    </row>
    <row r="87" spans="1:106">
      <c r="A87">
        <f>ROW(Source!A50)</f>
        <v>50</v>
      </c>
      <c r="B87">
        <v>34847864</v>
      </c>
      <c r="C87">
        <v>34850459</v>
      </c>
      <c r="D87">
        <v>26553813</v>
      </c>
      <c r="E87">
        <v>1</v>
      </c>
      <c r="F87">
        <v>1</v>
      </c>
      <c r="G87">
        <v>1</v>
      </c>
      <c r="H87">
        <v>2</v>
      </c>
      <c r="I87" t="s">
        <v>313</v>
      </c>
      <c r="J87" t="s">
        <v>314</v>
      </c>
      <c r="K87" t="s">
        <v>315</v>
      </c>
      <c r="L87">
        <v>26553684</v>
      </c>
      <c r="N87">
        <v>1013</v>
      </c>
      <c r="O87" t="s">
        <v>270</v>
      </c>
      <c r="P87" t="s">
        <v>270</v>
      </c>
      <c r="Q87">
        <v>1</v>
      </c>
      <c r="W87">
        <v>0</v>
      </c>
      <c r="X87">
        <v>79867837</v>
      </c>
      <c r="Y87">
        <v>0.51249999999999996</v>
      </c>
      <c r="AA87">
        <v>0</v>
      </c>
      <c r="AB87">
        <v>111.75</v>
      </c>
      <c r="AC87">
        <v>13.26</v>
      </c>
      <c r="AD87">
        <v>0</v>
      </c>
      <c r="AE87">
        <v>0</v>
      </c>
      <c r="AF87">
        <v>111.75</v>
      </c>
      <c r="AG87">
        <v>13.26</v>
      </c>
      <c r="AH87">
        <v>0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0.41</v>
      </c>
      <c r="AU87" t="s">
        <v>62</v>
      </c>
      <c r="AV87">
        <v>0</v>
      </c>
      <c r="AW87">
        <v>2</v>
      </c>
      <c r="AX87">
        <v>34850462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Y87*Source!I50</f>
        <v>2.4863937499999995</v>
      </c>
      <c r="CY87">
        <f>AB87</f>
        <v>111.75</v>
      </c>
      <c r="CZ87">
        <f>AF87</f>
        <v>111.75</v>
      </c>
      <c r="DA87">
        <f>AJ87</f>
        <v>1</v>
      </c>
      <c r="DB87">
        <v>0</v>
      </c>
    </row>
    <row r="88" spans="1:106">
      <c r="A88">
        <f>ROW(Source!A50)</f>
        <v>50</v>
      </c>
      <c r="B88">
        <v>34847864</v>
      </c>
      <c r="C88">
        <v>34850459</v>
      </c>
      <c r="D88">
        <v>26553886</v>
      </c>
      <c r="E88">
        <v>1</v>
      </c>
      <c r="F88">
        <v>1</v>
      </c>
      <c r="G88">
        <v>1</v>
      </c>
      <c r="H88">
        <v>2</v>
      </c>
      <c r="I88" t="s">
        <v>297</v>
      </c>
      <c r="J88" t="s">
        <v>298</v>
      </c>
      <c r="K88" t="s">
        <v>299</v>
      </c>
      <c r="L88">
        <v>26553684</v>
      </c>
      <c r="N88">
        <v>1013</v>
      </c>
      <c r="O88" t="s">
        <v>270</v>
      </c>
      <c r="P88" t="s">
        <v>270</v>
      </c>
      <c r="Q88">
        <v>1</v>
      </c>
      <c r="W88">
        <v>0</v>
      </c>
      <c r="X88">
        <v>-1120646225</v>
      </c>
      <c r="Y88">
        <v>1.2500000000000001E-2</v>
      </c>
      <c r="AA88">
        <v>0</v>
      </c>
      <c r="AB88">
        <v>89.81</v>
      </c>
      <c r="AC88">
        <v>9.8800000000000008</v>
      </c>
      <c r="AD88">
        <v>0</v>
      </c>
      <c r="AE88">
        <v>0</v>
      </c>
      <c r="AF88">
        <v>89.81</v>
      </c>
      <c r="AG88">
        <v>9.8800000000000008</v>
      </c>
      <c r="AH88">
        <v>0</v>
      </c>
      <c r="AI88">
        <v>1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0.01</v>
      </c>
      <c r="AU88" t="s">
        <v>62</v>
      </c>
      <c r="AV88">
        <v>0</v>
      </c>
      <c r="AW88">
        <v>2</v>
      </c>
      <c r="AX88">
        <v>34850463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Y88*Source!I50</f>
        <v>6.0643749999999996E-2</v>
      </c>
      <c r="CY88">
        <f>AB88</f>
        <v>89.81</v>
      </c>
      <c r="CZ88">
        <f>AF88</f>
        <v>89.81</v>
      </c>
      <c r="DA88">
        <f>AJ88</f>
        <v>1</v>
      </c>
      <c r="DB88">
        <v>0</v>
      </c>
    </row>
    <row r="89" spans="1:106">
      <c r="A89">
        <f>ROW(Source!A50)</f>
        <v>50</v>
      </c>
      <c r="B89">
        <v>34847864</v>
      </c>
      <c r="C89">
        <v>34850459</v>
      </c>
      <c r="D89">
        <v>26554549</v>
      </c>
      <c r="E89">
        <v>1</v>
      </c>
      <c r="F89">
        <v>1</v>
      </c>
      <c r="G89">
        <v>1</v>
      </c>
      <c r="H89">
        <v>2</v>
      </c>
      <c r="I89" t="s">
        <v>336</v>
      </c>
      <c r="J89" t="s">
        <v>337</v>
      </c>
      <c r="K89" t="s">
        <v>338</v>
      </c>
      <c r="L89">
        <v>26553684</v>
      </c>
      <c r="N89">
        <v>1013</v>
      </c>
      <c r="O89" t="s">
        <v>270</v>
      </c>
      <c r="P89" t="s">
        <v>270</v>
      </c>
      <c r="Q89">
        <v>1</v>
      </c>
      <c r="W89">
        <v>0</v>
      </c>
      <c r="X89">
        <v>1476220368</v>
      </c>
      <c r="Y89">
        <v>6.4124999999999996</v>
      </c>
      <c r="AA89">
        <v>0</v>
      </c>
      <c r="AB89">
        <v>60</v>
      </c>
      <c r="AC89">
        <v>0</v>
      </c>
      <c r="AD89">
        <v>0</v>
      </c>
      <c r="AE89">
        <v>0</v>
      </c>
      <c r="AF89">
        <v>60</v>
      </c>
      <c r="AG89">
        <v>0</v>
      </c>
      <c r="AH89">
        <v>0</v>
      </c>
      <c r="AI89">
        <v>1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1</v>
      </c>
      <c r="AQ89">
        <v>0</v>
      </c>
      <c r="AR89">
        <v>0</v>
      </c>
      <c r="AS89" t="s">
        <v>3</v>
      </c>
      <c r="AT89">
        <v>5.13</v>
      </c>
      <c r="AU89" t="s">
        <v>62</v>
      </c>
      <c r="AV89">
        <v>0</v>
      </c>
      <c r="AW89">
        <v>2</v>
      </c>
      <c r="AX89">
        <v>34850464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Y89*Source!I50</f>
        <v>31.110243749999995</v>
      </c>
      <c r="CY89">
        <f>AB89</f>
        <v>60</v>
      </c>
      <c r="CZ89">
        <f>AF89</f>
        <v>60</v>
      </c>
      <c r="DA89">
        <f>AJ89</f>
        <v>1</v>
      </c>
      <c r="DB89">
        <v>0</v>
      </c>
    </row>
    <row r="90" spans="1:106">
      <c r="A90">
        <f>ROW(Source!A50)</f>
        <v>50</v>
      </c>
      <c r="B90">
        <v>34847864</v>
      </c>
      <c r="C90">
        <v>34850459</v>
      </c>
      <c r="D90">
        <v>26555822</v>
      </c>
      <c r="E90">
        <v>1</v>
      </c>
      <c r="F90">
        <v>1</v>
      </c>
      <c r="G90">
        <v>1</v>
      </c>
      <c r="H90">
        <v>2</v>
      </c>
      <c r="I90" t="s">
        <v>316</v>
      </c>
      <c r="J90" t="s">
        <v>317</v>
      </c>
      <c r="K90" t="s">
        <v>318</v>
      </c>
      <c r="L90">
        <v>26553684</v>
      </c>
      <c r="N90">
        <v>1013</v>
      </c>
      <c r="O90" t="s">
        <v>270</v>
      </c>
      <c r="P90" t="s">
        <v>270</v>
      </c>
      <c r="Q90">
        <v>1</v>
      </c>
      <c r="W90">
        <v>0</v>
      </c>
      <c r="X90">
        <v>210745813</v>
      </c>
      <c r="Y90">
        <v>0.70000000000000007</v>
      </c>
      <c r="AA90">
        <v>0</v>
      </c>
      <c r="AB90">
        <v>86.55</v>
      </c>
      <c r="AC90">
        <v>0</v>
      </c>
      <c r="AD90">
        <v>0</v>
      </c>
      <c r="AE90">
        <v>0</v>
      </c>
      <c r="AF90">
        <v>86.55</v>
      </c>
      <c r="AG90">
        <v>0</v>
      </c>
      <c r="AH90">
        <v>0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1</v>
      </c>
      <c r="AQ90">
        <v>0</v>
      </c>
      <c r="AR90">
        <v>0</v>
      </c>
      <c r="AS90" t="s">
        <v>3</v>
      </c>
      <c r="AT90">
        <v>0.56000000000000005</v>
      </c>
      <c r="AU90" t="s">
        <v>62</v>
      </c>
      <c r="AV90">
        <v>0</v>
      </c>
      <c r="AW90">
        <v>2</v>
      </c>
      <c r="AX90">
        <v>34850465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Y90*Source!I50</f>
        <v>3.3960500000000002</v>
      </c>
      <c r="CY90">
        <f>AB90</f>
        <v>86.55</v>
      </c>
      <c r="CZ90">
        <f>AF90</f>
        <v>86.55</v>
      </c>
      <c r="DA90">
        <f>AJ90</f>
        <v>1</v>
      </c>
      <c r="DB90">
        <v>0</v>
      </c>
    </row>
    <row r="91" spans="1:106">
      <c r="A91">
        <f>ROW(Source!A50)</f>
        <v>50</v>
      </c>
      <c r="B91">
        <v>34847864</v>
      </c>
      <c r="C91">
        <v>34850459</v>
      </c>
      <c r="D91">
        <v>26598386</v>
      </c>
      <c r="E91">
        <v>1</v>
      </c>
      <c r="F91">
        <v>1</v>
      </c>
      <c r="G91">
        <v>1</v>
      </c>
      <c r="H91">
        <v>3</v>
      </c>
      <c r="I91" t="s">
        <v>101</v>
      </c>
      <c r="J91" t="s">
        <v>104</v>
      </c>
      <c r="K91" t="s">
        <v>102</v>
      </c>
      <c r="L91">
        <v>1327</v>
      </c>
      <c r="N91">
        <v>1005</v>
      </c>
      <c r="O91" t="s">
        <v>103</v>
      </c>
      <c r="P91" t="s">
        <v>103</v>
      </c>
      <c r="Q91">
        <v>1</v>
      </c>
      <c r="W91">
        <v>1</v>
      </c>
      <c r="X91">
        <v>1579892875</v>
      </c>
      <c r="Y91">
        <v>-100</v>
      </c>
      <c r="AA91">
        <v>65.349999999999994</v>
      </c>
      <c r="AB91">
        <v>0</v>
      </c>
      <c r="AC91">
        <v>0</v>
      </c>
      <c r="AD91">
        <v>0</v>
      </c>
      <c r="AE91">
        <v>65.349999999999994</v>
      </c>
      <c r="AF91">
        <v>0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-100</v>
      </c>
      <c r="AU91" t="s">
        <v>3</v>
      </c>
      <c r="AV91">
        <v>0</v>
      </c>
      <c r="AW91">
        <v>2</v>
      </c>
      <c r="AX91">
        <v>34850466</v>
      </c>
      <c r="AY91">
        <v>1</v>
      </c>
      <c r="AZ91">
        <v>6144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Y91*Source!I50</f>
        <v>-485.15</v>
      </c>
      <c r="CY91">
        <f>AA91</f>
        <v>65.349999999999994</v>
      </c>
      <c r="CZ91">
        <f>AE91</f>
        <v>65.349999999999994</v>
      </c>
      <c r="DA91">
        <f>AI91</f>
        <v>1</v>
      </c>
      <c r="DB91">
        <v>0</v>
      </c>
    </row>
    <row r="92" spans="1:106">
      <c r="A92">
        <f>ROW(Source!A50)</f>
        <v>50</v>
      </c>
      <c r="B92">
        <v>34847864</v>
      </c>
      <c r="C92">
        <v>34850459</v>
      </c>
      <c r="D92">
        <v>26606443</v>
      </c>
      <c r="E92">
        <v>1</v>
      </c>
      <c r="F92">
        <v>1</v>
      </c>
      <c r="G92">
        <v>1</v>
      </c>
      <c r="H92">
        <v>3</v>
      </c>
      <c r="I92" t="s">
        <v>107</v>
      </c>
      <c r="J92" t="s">
        <v>109</v>
      </c>
      <c r="K92" t="s">
        <v>108</v>
      </c>
      <c r="L92">
        <v>1327</v>
      </c>
      <c r="N92">
        <v>1005</v>
      </c>
      <c r="O92" t="s">
        <v>103</v>
      </c>
      <c r="P92" t="s">
        <v>103</v>
      </c>
      <c r="Q92">
        <v>1</v>
      </c>
      <c r="W92">
        <v>0</v>
      </c>
      <c r="X92">
        <v>418301865</v>
      </c>
      <c r="Y92">
        <v>100</v>
      </c>
      <c r="AA92">
        <v>90.22</v>
      </c>
      <c r="AB92">
        <v>0</v>
      </c>
      <c r="AC92">
        <v>0</v>
      </c>
      <c r="AD92">
        <v>0</v>
      </c>
      <c r="AE92">
        <v>90.22</v>
      </c>
      <c r="AF92">
        <v>0</v>
      </c>
      <c r="AG92">
        <v>0</v>
      </c>
      <c r="AH92">
        <v>0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0</v>
      </c>
      <c r="AP92">
        <v>0</v>
      </c>
      <c r="AQ92">
        <v>0</v>
      </c>
      <c r="AR92">
        <v>0</v>
      </c>
      <c r="AS92" t="s">
        <v>3</v>
      </c>
      <c r="AT92">
        <v>100</v>
      </c>
      <c r="AU92" t="s">
        <v>3</v>
      </c>
      <c r="AV92">
        <v>0</v>
      </c>
      <c r="AW92">
        <v>1</v>
      </c>
      <c r="AX92">
        <v>-1</v>
      </c>
      <c r="AY92">
        <v>0</v>
      </c>
      <c r="AZ92">
        <v>0</v>
      </c>
      <c r="BA92" t="s">
        <v>3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Y92*Source!I50</f>
        <v>485.15</v>
      </c>
      <c r="CY92">
        <f>AA92</f>
        <v>90.22</v>
      </c>
      <c r="CZ92">
        <f>AE92</f>
        <v>90.22</v>
      </c>
      <c r="DA92">
        <f>AI92</f>
        <v>1</v>
      </c>
      <c r="DB92">
        <v>0</v>
      </c>
    </row>
    <row r="93" spans="1:106">
      <c r="A93">
        <f>ROW(Source!A50)</f>
        <v>50</v>
      </c>
      <c r="B93">
        <v>34847864</v>
      </c>
      <c r="C93">
        <v>34850459</v>
      </c>
      <c r="D93">
        <v>26607526</v>
      </c>
      <c r="E93">
        <v>1</v>
      </c>
      <c r="F93">
        <v>1</v>
      </c>
      <c r="G93">
        <v>1</v>
      </c>
      <c r="H93">
        <v>3</v>
      </c>
      <c r="I93" t="s">
        <v>339</v>
      </c>
      <c r="J93" t="s">
        <v>340</v>
      </c>
      <c r="K93" t="s">
        <v>341</v>
      </c>
      <c r="L93">
        <v>1339</v>
      </c>
      <c r="N93">
        <v>1007</v>
      </c>
      <c r="O93" t="s">
        <v>69</v>
      </c>
      <c r="P93" t="s">
        <v>69</v>
      </c>
      <c r="Q93">
        <v>1</v>
      </c>
      <c r="W93">
        <v>0</v>
      </c>
      <c r="X93">
        <v>884561444</v>
      </c>
      <c r="Y93">
        <v>5</v>
      </c>
      <c r="AA93">
        <v>259.83</v>
      </c>
      <c r="AB93">
        <v>0</v>
      </c>
      <c r="AC93">
        <v>0</v>
      </c>
      <c r="AD93">
        <v>0</v>
      </c>
      <c r="AE93">
        <v>259.83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S93" t="s">
        <v>3</v>
      </c>
      <c r="AT93">
        <v>5</v>
      </c>
      <c r="AU93" t="s">
        <v>3</v>
      </c>
      <c r="AV93">
        <v>0</v>
      </c>
      <c r="AW93">
        <v>2</v>
      </c>
      <c r="AX93">
        <v>34850467</v>
      </c>
      <c r="AY93">
        <v>1</v>
      </c>
      <c r="AZ93">
        <v>0</v>
      </c>
      <c r="BA93">
        <v>92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Y93*Source!I50</f>
        <v>24.2575</v>
      </c>
      <c r="CY93">
        <f>AA93</f>
        <v>259.83</v>
      </c>
      <c r="CZ93">
        <f>AE93</f>
        <v>259.83</v>
      </c>
      <c r="DA93">
        <f>AI93</f>
        <v>1</v>
      </c>
      <c r="DB93">
        <v>0</v>
      </c>
    </row>
    <row r="94" spans="1:106">
      <c r="A94">
        <f>ROW(Source!A50)</f>
        <v>50</v>
      </c>
      <c r="B94">
        <v>34847864</v>
      </c>
      <c r="C94">
        <v>34850459</v>
      </c>
      <c r="D94">
        <v>26607647</v>
      </c>
      <c r="E94">
        <v>1</v>
      </c>
      <c r="F94">
        <v>1</v>
      </c>
      <c r="G94">
        <v>1</v>
      </c>
      <c r="H94">
        <v>3</v>
      </c>
      <c r="I94" t="s">
        <v>67</v>
      </c>
      <c r="J94" t="s">
        <v>70</v>
      </c>
      <c r="K94" t="s">
        <v>68</v>
      </c>
      <c r="L94">
        <v>1339</v>
      </c>
      <c r="N94">
        <v>1007</v>
      </c>
      <c r="O94" t="s">
        <v>69</v>
      </c>
      <c r="P94" t="s">
        <v>69</v>
      </c>
      <c r="Q94">
        <v>1</v>
      </c>
      <c r="W94">
        <v>0</v>
      </c>
      <c r="X94">
        <v>-215471597</v>
      </c>
      <c r="Y94">
        <v>0.05</v>
      </c>
      <c r="AA94">
        <v>51.17</v>
      </c>
      <c r="AB94">
        <v>0</v>
      </c>
      <c r="AC94">
        <v>0</v>
      </c>
      <c r="AD94">
        <v>0</v>
      </c>
      <c r="AE94">
        <v>51.17</v>
      </c>
      <c r="AF94">
        <v>0</v>
      </c>
      <c r="AG94">
        <v>0</v>
      </c>
      <c r="AH94">
        <v>0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0</v>
      </c>
      <c r="AQ94">
        <v>0</v>
      </c>
      <c r="AR94">
        <v>0</v>
      </c>
      <c r="AS94" t="s">
        <v>3</v>
      </c>
      <c r="AT94">
        <v>0.05</v>
      </c>
      <c r="AU94" t="s">
        <v>3</v>
      </c>
      <c r="AV94">
        <v>0</v>
      </c>
      <c r="AW94">
        <v>2</v>
      </c>
      <c r="AX94">
        <v>34850468</v>
      </c>
      <c r="AY94">
        <v>1</v>
      </c>
      <c r="AZ94">
        <v>0</v>
      </c>
      <c r="BA94">
        <v>93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Y94*Source!I50</f>
        <v>0.24257499999999999</v>
      </c>
      <c r="CY94">
        <f>AA94</f>
        <v>51.17</v>
      </c>
      <c r="CZ94">
        <f>AE94</f>
        <v>51.17</v>
      </c>
      <c r="DA94">
        <f>AI94</f>
        <v>1</v>
      </c>
      <c r="DB94">
        <v>0</v>
      </c>
    </row>
    <row r="95" spans="1:106">
      <c r="A95">
        <f>ROW(Source!A51)</f>
        <v>51</v>
      </c>
      <c r="B95">
        <v>34847877</v>
      </c>
      <c r="C95">
        <v>34850459</v>
      </c>
      <c r="D95">
        <v>24225706</v>
      </c>
      <c r="E95">
        <v>1</v>
      </c>
      <c r="F95">
        <v>1</v>
      </c>
      <c r="G95">
        <v>1</v>
      </c>
      <c r="H95">
        <v>1</v>
      </c>
      <c r="I95" t="s">
        <v>334</v>
      </c>
      <c r="J95" t="s">
        <v>3</v>
      </c>
      <c r="K95" t="s">
        <v>335</v>
      </c>
      <c r="L95">
        <v>1476</v>
      </c>
      <c r="N95">
        <v>1013</v>
      </c>
      <c r="O95" t="s">
        <v>263</v>
      </c>
      <c r="P95" t="s">
        <v>264</v>
      </c>
      <c r="Q95">
        <v>1</v>
      </c>
      <c r="W95">
        <v>0</v>
      </c>
      <c r="X95">
        <v>-295123421</v>
      </c>
      <c r="Y95">
        <v>48.76</v>
      </c>
      <c r="AA95">
        <v>0</v>
      </c>
      <c r="AB95">
        <v>0</v>
      </c>
      <c r="AC95">
        <v>0</v>
      </c>
      <c r="AD95">
        <v>109.33</v>
      </c>
      <c r="AE95">
        <v>0</v>
      </c>
      <c r="AF95">
        <v>0</v>
      </c>
      <c r="AG95">
        <v>0</v>
      </c>
      <c r="AH95">
        <v>6.65</v>
      </c>
      <c r="AI95">
        <v>1</v>
      </c>
      <c r="AJ95">
        <v>1</v>
      </c>
      <c r="AK95">
        <v>1</v>
      </c>
      <c r="AL95">
        <v>16.440000000000001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42.4</v>
      </c>
      <c r="AU95" t="s">
        <v>63</v>
      </c>
      <c r="AV95">
        <v>1</v>
      </c>
      <c r="AW95">
        <v>2</v>
      </c>
      <c r="AX95">
        <v>34850460</v>
      </c>
      <c r="AY95">
        <v>1</v>
      </c>
      <c r="AZ95">
        <v>0</v>
      </c>
      <c r="BA95">
        <v>94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Y95*Source!I51</f>
        <v>236.55913999999999</v>
      </c>
      <c r="CY95">
        <f>AD95</f>
        <v>109.33</v>
      </c>
      <c r="CZ95">
        <f>AH95</f>
        <v>6.65</v>
      </c>
      <c r="DA95">
        <f>AL95</f>
        <v>16.440000000000001</v>
      </c>
      <c r="DB95">
        <v>0</v>
      </c>
    </row>
    <row r="96" spans="1:106">
      <c r="A96">
        <f>ROW(Source!A51)</f>
        <v>51</v>
      </c>
      <c r="B96">
        <v>34847877</v>
      </c>
      <c r="C96">
        <v>34850459</v>
      </c>
      <c r="D96">
        <v>121548</v>
      </c>
      <c r="E96">
        <v>1</v>
      </c>
      <c r="F96">
        <v>1</v>
      </c>
      <c r="G96">
        <v>1</v>
      </c>
      <c r="H96">
        <v>1</v>
      </c>
      <c r="I96" t="s">
        <v>23</v>
      </c>
      <c r="J96" t="s">
        <v>3</v>
      </c>
      <c r="K96" t="s">
        <v>265</v>
      </c>
      <c r="L96">
        <v>608254</v>
      </c>
      <c r="N96">
        <v>1013</v>
      </c>
      <c r="O96" t="s">
        <v>266</v>
      </c>
      <c r="P96" t="s">
        <v>266</v>
      </c>
      <c r="Q96">
        <v>1</v>
      </c>
      <c r="W96">
        <v>0</v>
      </c>
      <c r="X96">
        <v>-185737400</v>
      </c>
      <c r="Y96">
        <v>0.52500000000000002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1</v>
      </c>
      <c r="AJ96">
        <v>1</v>
      </c>
      <c r="AK96">
        <v>16.440000000000001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0.42</v>
      </c>
      <c r="AU96" t="s">
        <v>62</v>
      </c>
      <c r="AV96">
        <v>2</v>
      </c>
      <c r="AW96">
        <v>2</v>
      </c>
      <c r="AX96">
        <v>34850461</v>
      </c>
      <c r="AY96">
        <v>1</v>
      </c>
      <c r="AZ96">
        <v>0</v>
      </c>
      <c r="BA96">
        <v>95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Y96*Source!I51</f>
        <v>2.5470375000000001</v>
      </c>
      <c r="CY96">
        <f>AD96</f>
        <v>0</v>
      </c>
      <c r="CZ96">
        <f>AH96</f>
        <v>0</v>
      </c>
      <c r="DA96">
        <f>AL96</f>
        <v>1</v>
      </c>
      <c r="DB96">
        <v>0</v>
      </c>
    </row>
    <row r="97" spans="1:106">
      <c r="A97">
        <f>ROW(Source!A51)</f>
        <v>51</v>
      </c>
      <c r="B97">
        <v>34847877</v>
      </c>
      <c r="C97">
        <v>34850459</v>
      </c>
      <c r="D97">
        <v>26553813</v>
      </c>
      <c r="E97">
        <v>1</v>
      </c>
      <c r="F97">
        <v>1</v>
      </c>
      <c r="G97">
        <v>1</v>
      </c>
      <c r="H97">
        <v>2</v>
      </c>
      <c r="I97" t="s">
        <v>313</v>
      </c>
      <c r="J97" t="s">
        <v>314</v>
      </c>
      <c r="K97" t="s">
        <v>315</v>
      </c>
      <c r="L97">
        <v>26553684</v>
      </c>
      <c r="N97">
        <v>1013</v>
      </c>
      <c r="O97" t="s">
        <v>270</v>
      </c>
      <c r="P97" t="s">
        <v>270</v>
      </c>
      <c r="Q97">
        <v>1</v>
      </c>
      <c r="W97">
        <v>0</v>
      </c>
      <c r="X97">
        <v>79867837</v>
      </c>
      <c r="Y97">
        <v>0.51249999999999996</v>
      </c>
      <c r="AA97">
        <v>0</v>
      </c>
      <c r="AB97">
        <v>693.97</v>
      </c>
      <c r="AC97">
        <v>217.99</v>
      </c>
      <c r="AD97">
        <v>0</v>
      </c>
      <c r="AE97">
        <v>0</v>
      </c>
      <c r="AF97">
        <v>111.75</v>
      </c>
      <c r="AG97">
        <v>13.26</v>
      </c>
      <c r="AH97">
        <v>0</v>
      </c>
      <c r="AI97">
        <v>1</v>
      </c>
      <c r="AJ97">
        <v>6.21</v>
      </c>
      <c r="AK97">
        <v>16.440000000000001</v>
      </c>
      <c r="AL97">
        <v>1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0.41</v>
      </c>
      <c r="AU97" t="s">
        <v>62</v>
      </c>
      <c r="AV97">
        <v>0</v>
      </c>
      <c r="AW97">
        <v>2</v>
      </c>
      <c r="AX97">
        <v>34850462</v>
      </c>
      <c r="AY97">
        <v>1</v>
      </c>
      <c r="AZ97">
        <v>0</v>
      </c>
      <c r="BA97">
        <v>96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Y97*Source!I51</f>
        <v>2.4863937499999995</v>
      </c>
      <c r="CY97">
        <f>AB97</f>
        <v>693.97</v>
      </c>
      <c r="CZ97">
        <f>AF97</f>
        <v>111.75</v>
      </c>
      <c r="DA97">
        <f>AJ97</f>
        <v>6.21</v>
      </c>
      <c r="DB97">
        <v>0</v>
      </c>
    </row>
    <row r="98" spans="1:106">
      <c r="A98">
        <f>ROW(Source!A51)</f>
        <v>51</v>
      </c>
      <c r="B98">
        <v>34847877</v>
      </c>
      <c r="C98">
        <v>34850459</v>
      </c>
      <c r="D98">
        <v>26553886</v>
      </c>
      <c r="E98">
        <v>1</v>
      </c>
      <c r="F98">
        <v>1</v>
      </c>
      <c r="G98">
        <v>1</v>
      </c>
      <c r="H98">
        <v>2</v>
      </c>
      <c r="I98" t="s">
        <v>297</v>
      </c>
      <c r="J98" t="s">
        <v>298</v>
      </c>
      <c r="K98" t="s">
        <v>299</v>
      </c>
      <c r="L98">
        <v>26553684</v>
      </c>
      <c r="N98">
        <v>1013</v>
      </c>
      <c r="O98" t="s">
        <v>270</v>
      </c>
      <c r="P98" t="s">
        <v>270</v>
      </c>
      <c r="Q98">
        <v>1</v>
      </c>
      <c r="W98">
        <v>0</v>
      </c>
      <c r="X98">
        <v>-1120646225</v>
      </c>
      <c r="Y98">
        <v>1.2500000000000001E-2</v>
      </c>
      <c r="AA98">
        <v>0</v>
      </c>
      <c r="AB98">
        <v>557.72</v>
      </c>
      <c r="AC98">
        <v>162.43</v>
      </c>
      <c r="AD98">
        <v>0</v>
      </c>
      <c r="AE98">
        <v>0</v>
      </c>
      <c r="AF98">
        <v>89.81</v>
      </c>
      <c r="AG98">
        <v>9.8800000000000008</v>
      </c>
      <c r="AH98">
        <v>0</v>
      </c>
      <c r="AI98">
        <v>1</v>
      </c>
      <c r="AJ98">
        <v>6.21</v>
      </c>
      <c r="AK98">
        <v>16.440000000000001</v>
      </c>
      <c r="AL98">
        <v>1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0.01</v>
      </c>
      <c r="AU98" t="s">
        <v>62</v>
      </c>
      <c r="AV98">
        <v>0</v>
      </c>
      <c r="AW98">
        <v>2</v>
      </c>
      <c r="AX98">
        <v>34850463</v>
      </c>
      <c r="AY98">
        <v>1</v>
      </c>
      <c r="AZ98">
        <v>0</v>
      </c>
      <c r="BA98">
        <v>97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Y98*Source!I51</f>
        <v>6.0643749999999996E-2</v>
      </c>
      <c r="CY98">
        <f>AB98</f>
        <v>557.72</v>
      </c>
      <c r="CZ98">
        <f>AF98</f>
        <v>89.81</v>
      </c>
      <c r="DA98">
        <f>AJ98</f>
        <v>6.21</v>
      </c>
      <c r="DB98">
        <v>0</v>
      </c>
    </row>
    <row r="99" spans="1:106">
      <c r="A99">
        <f>ROW(Source!A51)</f>
        <v>51</v>
      </c>
      <c r="B99">
        <v>34847877</v>
      </c>
      <c r="C99">
        <v>34850459</v>
      </c>
      <c r="D99">
        <v>26554549</v>
      </c>
      <c r="E99">
        <v>1</v>
      </c>
      <c r="F99">
        <v>1</v>
      </c>
      <c r="G99">
        <v>1</v>
      </c>
      <c r="H99">
        <v>2</v>
      </c>
      <c r="I99" t="s">
        <v>336</v>
      </c>
      <c r="J99" t="s">
        <v>337</v>
      </c>
      <c r="K99" t="s">
        <v>338</v>
      </c>
      <c r="L99">
        <v>26553684</v>
      </c>
      <c r="N99">
        <v>1013</v>
      </c>
      <c r="O99" t="s">
        <v>270</v>
      </c>
      <c r="P99" t="s">
        <v>270</v>
      </c>
      <c r="Q99">
        <v>1</v>
      </c>
      <c r="W99">
        <v>0</v>
      </c>
      <c r="X99">
        <v>1476220368</v>
      </c>
      <c r="Y99">
        <v>6.4124999999999996</v>
      </c>
      <c r="AA99">
        <v>0</v>
      </c>
      <c r="AB99">
        <v>372.6</v>
      </c>
      <c r="AC99">
        <v>0</v>
      </c>
      <c r="AD99">
        <v>0</v>
      </c>
      <c r="AE99">
        <v>0</v>
      </c>
      <c r="AF99">
        <v>60</v>
      </c>
      <c r="AG99">
        <v>0</v>
      </c>
      <c r="AH99">
        <v>0</v>
      </c>
      <c r="AI99">
        <v>1</v>
      </c>
      <c r="AJ99">
        <v>6.21</v>
      </c>
      <c r="AK99">
        <v>16.440000000000001</v>
      </c>
      <c r="AL99">
        <v>1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5.13</v>
      </c>
      <c r="AU99" t="s">
        <v>62</v>
      </c>
      <c r="AV99">
        <v>0</v>
      </c>
      <c r="AW99">
        <v>2</v>
      </c>
      <c r="AX99">
        <v>34850464</v>
      </c>
      <c r="AY99">
        <v>1</v>
      </c>
      <c r="AZ99">
        <v>0</v>
      </c>
      <c r="BA99">
        <v>98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Y99*Source!I51</f>
        <v>31.110243749999995</v>
      </c>
      <c r="CY99">
        <f>AB99</f>
        <v>372.6</v>
      </c>
      <c r="CZ99">
        <f>AF99</f>
        <v>60</v>
      </c>
      <c r="DA99">
        <f>AJ99</f>
        <v>6.21</v>
      </c>
      <c r="DB99">
        <v>0</v>
      </c>
    </row>
    <row r="100" spans="1:106">
      <c r="A100">
        <f>ROW(Source!A51)</f>
        <v>51</v>
      </c>
      <c r="B100">
        <v>34847877</v>
      </c>
      <c r="C100">
        <v>34850459</v>
      </c>
      <c r="D100">
        <v>26555822</v>
      </c>
      <c r="E100">
        <v>1</v>
      </c>
      <c r="F100">
        <v>1</v>
      </c>
      <c r="G100">
        <v>1</v>
      </c>
      <c r="H100">
        <v>2</v>
      </c>
      <c r="I100" t="s">
        <v>316</v>
      </c>
      <c r="J100" t="s">
        <v>317</v>
      </c>
      <c r="K100" t="s">
        <v>318</v>
      </c>
      <c r="L100">
        <v>26553684</v>
      </c>
      <c r="N100">
        <v>1013</v>
      </c>
      <c r="O100" t="s">
        <v>270</v>
      </c>
      <c r="P100" t="s">
        <v>270</v>
      </c>
      <c r="Q100">
        <v>1</v>
      </c>
      <c r="W100">
        <v>0</v>
      </c>
      <c r="X100">
        <v>210745813</v>
      </c>
      <c r="Y100">
        <v>0.70000000000000007</v>
      </c>
      <c r="AA100">
        <v>0</v>
      </c>
      <c r="AB100">
        <v>537.48</v>
      </c>
      <c r="AC100">
        <v>0</v>
      </c>
      <c r="AD100">
        <v>0</v>
      </c>
      <c r="AE100">
        <v>0</v>
      </c>
      <c r="AF100">
        <v>86.55</v>
      </c>
      <c r="AG100">
        <v>0</v>
      </c>
      <c r="AH100">
        <v>0</v>
      </c>
      <c r="AI100">
        <v>1</v>
      </c>
      <c r="AJ100">
        <v>6.21</v>
      </c>
      <c r="AK100">
        <v>16.440000000000001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0.56000000000000005</v>
      </c>
      <c r="AU100" t="s">
        <v>62</v>
      </c>
      <c r="AV100">
        <v>0</v>
      </c>
      <c r="AW100">
        <v>2</v>
      </c>
      <c r="AX100">
        <v>34850465</v>
      </c>
      <c r="AY100">
        <v>1</v>
      </c>
      <c r="AZ100">
        <v>0</v>
      </c>
      <c r="BA100">
        <v>99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Y100*Source!I51</f>
        <v>3.3960500000000002</v>
      </c>
      <c r="CY100">
        <f>AB100</f>
        <v>537.48</v>
      </c>
      <c r="CZ100">
        <f>AF100</f>
        <v>86.55</v>
      </c>
      <c r="DA100">
        <f>AJ100</f>
        <v>6.21</v>
      </c>
      <c r="DB100">
        <v>0</v>
      </c>
    </row>
    <row r="101" spans="1:106">
      <c r="A101">
        <f>ROW(Source!A51)</f>
        <v>51</v>
      </c>
      <c r="B101">
        <v>34847877</v>
      </c>
      <c r="C101">
        <v>34850459</v>
      </c>
      <c r="D101">
        <v>26598386</v>
      </c>
      <c r="E101">
        <v>1</v>
      </c>
      <c r="F101">
        <v>1</v>
      </c>
      <c r="G101">
        <v>1</v>
      </c>
      <c r="H101">
        <v>3</v>
      </c>
      <c r="I101" t="s">
        <v>101</v>
      </c>
      <c r="J101" t="s">
        <v>104</v>
      </c>
      <c r="K101" t="s">
        <v>102</v>
      </c>
      <c r="L101">
        <v>1327</v>
      </c>
      <c r="N101">
        <v>1005</v>
      </c>
      <c r="O101" t="s">
        <v>103</v>
      </c>
      <c r="P101" t="s">
        <v>103</v>
      </c>
      <c r="Q101">
        <v>1</v>
      </c>
      <c r="W101">
        <v>1</v>
      </c>
      <c r="X101">
        <v>1579892875</v>
      </c>
      <c r="Y101">
        <v>-100</v>
      </c>
      <c r="AA101">
        <v>385.57</v>
      </c>
      <c r="AB101">
        <v>0</v>
      </c>
      <c r="AC101">
        <v>0</v>
      </c>
      <c r="AD101">
        <v>0</v>
      </c>
      <c r="AE101">
        <v>65.349999999999994</v>
      </c>
      <c r="AF101">
        <v>0</v>
      </c>
      <c r="AG101">
        <v>0</v>
      </c>
      <c r="AH101">
        <v>0</v>
      </c>
      <c r="AI101">
        <v>5.9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S101" t="s">
        <v>3</v>
      </c>
      <c r="AT101">
        <v>-100</v>
      </c>
      <c r="AU101" t="s">
        <v>3</v>
      </c>
      <c r="AV101">
        <v>0</v>
      </c>
      <c r="AW101">
        <v>2</v>
      </c>
      <c r="AX101">
        <v>34850466</v>
      </c>
      <c r="AY101">
        <v>1</v>
      </c>
      <c r="AZ101">
        <v>6144</v>
      </c>
      <c r="BA101">
        <v>100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Y101*Source!I51</f>
        <v>-485.15</v>
      </c>
      <c r="CY101">
        <f>AA101</f>
        <v>385.57</v>
      </c>
      <c r="CZ101">
        <f>AE101</f>
        <v>65.349999999999994</v>
      </c>
      <c r="DA101">
        <f>AI101</f>
        <v>5.9</v>
      </c>
      <c r="DB101">
        <v>0</v>
      </c>
    </row>
    <row r="102" spans="1:106">
      <c r="A102">
        <f>ROW(Source!A51)</f>
        <v>51</v>
      </c>
      <c r="B102">
        <v>34847877</v>
      </c>
      <c r="C102">
        <v>34850459</v>
      </c>
      <c r="D102">
        <v>26606443</v>
      </c>
      <c r="E102">
        <v>1</v>
      </c>
      <c r="F102">
        <v>1</v>
      </c>
      <c r="G102">
        <v>1</v>
      </c>
      <c r="H102">
        <v>3</v>
      </c>
      <c r="I102" t="s">
        <v>107</v>
      </c>
      <c r="J102" t="s">
        <v>109</v>
      </c>
      <c r="K102" t="s">
        <v>108</v>
      </c>
      <c r="L102">
        <v>1327</v>
      </c>
      <c r="N102">
        <v>1005</v>
      </c>
      <c r="O102" t="s">
        <v>103</v>
      </c>
      <c r="P102" t="s">
        <v>103</v>
      </c>
      <c r="Q102">
        <v>1</v>
      </c>
      <c r="W102">
        <v>0</v>
      </c>
      <c r="X102">
        <v>418301865</v>
      </c>
      <c r="Y102">
        <v>100</v>
      </c>
      <c r="AA102">
        <v>532.29999999999995</v>
      </c>
      <c r="AB102">
        <v>0</v>
      </c>
      <c r="AC102">
        <v>0</v>
      </c>
      <c r="AD102">
        <v>0</v>
      </c>
      <c r="AE102">
        <v>90.22</v>
      </c>
      <c r="AF102">
        <v>0</v>
      </c>
      <c r="AG102">
        <v>0</v>
      </c>
      <c r="AH102">
        <v>0</v>
      </c>
      <c r="AI102">
        <v>5.9</v>
      </c>
      <c r="AJ102">
        <v>1</v>
      </c>
      <c r="AK102">
        <v>1</v>
      </c>
      <c r="AL102">
        <v>1</v>
      </c>
      <c r="AN102">
        <v>0</v>
      </c>
      <c r="AO102">
        <v>0</v>
      </c>
      <c r="AP102">
        <v>0</v>
      </c>
      <c r="AQ102">
        <v>0</v>
      </c>
      <c r="AR102">
        <v>0</v>
      </c>
      <c r="AS102" t="s">
        <v>3</v>
      </c>
      <c r="AT102">
        <v>100</v>
      </c>
      <c r="AU102" t="s">
        <v>3</v>
      </c>
      <c r="AV102">
        <v>0</v>
      </c>
      <c r="AW102">
        <v>1</v>
      </c>
      <c r="AX102">
        <v>-1</v>
      </c>
      <c r="AY102">
        <v>0</v>
      </c>
      <c r="AZ102">
        <v>0</v>
      </c>
      <c r="BA102" t="s">
        <v>3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Y102*Source!I51</f>
        <v>485.15</v>
      </c>
      <c r="CY102">
        <f>AA102</f>
        <v>532.29999999999995</v>
      </c>
      <c r="CZ102">
        <f>AE102</f>
        <v>90.22</v>
      </c>
      <c r="DA102">
        <f>AI102</f>
        <v>5.9</v>
      </c>
      <c r="DB102">
        <v>0</v>
      </c>
    </row>
    <row r="103" spans="1:106">
      <c r="A103">
        <f>ROW(Source!A51)</f>
        <v>51</v>
      </c>
      <c r="B103">
        <v>34847877</v>
      </c>
      <c r="C103">
        <v>34850459</v>
      </c>
      <c r="D103">
        <v>26607526</v>
      </c>
      <c r="E103">
        <v>1</v>
      </c>
      <c r="F103">
        <v>1</v>
      </c>
      <c r="G103">
        <v>1</v>
      </c>
      <c r="H103">
        <v>3</v>
      </c>
      <c r="I103" t="s">
        <v>339</v>
      </c>
      <c r="J103" t="s">
        <v>340</v>
      </c>
      <c r="K103" t="s">
        <v>341</v>
      </c>
      <c r="L103">
        <v>1339</v>
      </c>
      <c r="N103">
        <v>1007</v>
      </c>
      <c r="O103" t="s">
        <v>69</v>
      </c>
      <c r="P103" t="s">
        <v>69</v>
      </c>
      <c r="Q103">
        <v>1</v>
      </c>
      <c r="W103">
        <v>0</v>
      </c>
      <c r="X103">
        <v>884561444</v>
      </c>
      <c r="Y103">
        <v>5</v>
      </c>
      <c r="AA103">
        <v>1533</v>
      </c>
      <c r="AB103">
        <v>0</v>
      </c>
      <c r="AC103">
        <v>0</v>
      </c>
      <c r="AD103">
        <v>0</v>
      </c>
      <c r="AE103">
        <v>259.83</v>
      </c>
      <c r="AF103">
        <v>0</v>
      </c>
      <c r="AG103">
        <v>0</v>
      </c>
      <c r="AH103">
        <v>0</v>
      </c>
      <c r="AI103">
        <v>5.9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3</v>
      </c>
      <c r="AT103">
        <v>5</v>
      </c>
      <c r="AU103" t="s">
        <v>3</v>
      </c>
      <c r="AV103">
        <v>0</v>
      </c>
      <c r="AW103">
        <v>2</v>
      </c>
      <c r="AX103">
        <v>34850467</v>
      </c>
      <c r="AY103">
        <v>1</v>
      </c>
      <c r="AZ103">
        <v>0</v>
      </c>
      <c r="BA103">
        <v>101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Y103*Source!I51</f>
        <v>24.2575</v>
      </c>
      <c r="CY103">
        <f>AA103</f>
        <v>1533</v>
      </c>
      <c r="CZ103">
        <f>AE103</f>
        <v>259.83</v>
      </c>
      <c r="DA103">
        <f>AI103</f>
        <v>5.9</v>
      </c>
      <c r="DB103">
        <v>0</v>
      </c>
    </row>
    <row r="104" spans="1:106">
      <c r="A104">
        <f>ROW(Source!A51)</f>
        <v>51</v>
      </c>
      <c r="B104">
        <v>34847877</v>
      </c>
      <c r="C104">
        <v>34850459</v>
      </c>
      <c r="D104">
        <v>26607647</v>
      </c>
      <c r="E104">
        <v>1</v>
      </c>
      <c r="F104">
        <v>1</v>
      </c>
      <c r="G104">
        <v>1</v>
      </c>
      <c r="H104">
        <v>3</v>
      </c>
      <c r="I104" t="s">
        <v>67</v>
      </c>
      <c r="J104" t="s">
        <v>70</v>
      </c>
      <c r="K104" t="s">
        <v>68</v>
      </c>
      <c r="L104">
        <v>1339</v>
      </c>
      <c r="N104">
        <v>1007</v>
      </c>
      <c r="O104" t="s">
        <v>69</v>
      </c>
      <c r="P104" t="s">
        <v>69</v>
      </c>
      <c r="Q104">
        <v>1</v>
      </c>
      <c r="W104">
        <v>0</v>
      </c>
      <c r="X104">
        <v>-215471597</v>
      </c>
      <c r="Y104">
        <v>0.05</v>
      </c>
      <c r="AA104">
        <v>301.89999999999998</v>
      </c>
      <c r="AB104">
        <v>0</v>
      </c>
      <c r="AC104">
        <v>0</v>
      </c>
      <c r="AD104">
        <v>0</v>
      </c>
      <c r="AE104">
        <v>51.17</v>
      </c>
      <c r="AF104">
        <v>0</v>
      </c>
      <c r="AG104">
        <v>0</v>
      </c>
      <c r="AH104">
        <v>0</v>
      </c>
      <c r="AI104">
        <v>5.9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S104" t="s">
        <v>3</v>
      </c>
      <c r="AT104">
        <v>0.05</v>
      </c>
      <c r="AU104" t="s">
        <v>3</v>
      </c>
      <c r="AV104">
        <v>0</v>
      </c>
      <c r="AW104">
        <v>2</v>
      </c>
      <c r="AX104">
        <v>34850468</v>
      </c>
      <c r="AY104">
        <v>1</v>
      </c>
      <c r="AZ104">
        <v>0</v>
      </c>
      <c r="BA104">
        <v>102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Y104*Source!I51</f>
        <v>0.24257499999999999</v>
      </c>
      <c r="CY104">
        <f>AA104</f>
        <v>301.89999999999998</v>
      </c>
      <c r="CZ104">
        <f>AE104</f>
        <v>51.17</v>
      </c>
      <c r="DA104">
        <f>AI104</f>
        <v>5.9</v>
      </c>
      <c r="DB104">
        <v>0</v>
      </c>
    </row>
    <row r="105" spans="1:106">
      <c r="A105">
        <f>ROW(Source!A56)</f>
        <v>56</v>
      </c>
      <c r="B105">
        <v>34847864</v>
      </c>
      <c r="C105">
        <v>34850473</v>
      </c>
      <c r="D105">
        <v>24225554</v>
      </c>
      <c r="E105">
        <v>1</v>
      </c>
      <c r="F105">
        <v>1</v>
      </c>
      <c r="G105">
        <v>1</v>
      </c>
      <c r="H105">
        <v>1</v>
      </c>
      <c r="I105" t="s">
        <v>342</v>
      </c>
      <c r="J105" t="s">
        <v>3</v>
      </c>
      <c r="K105" t="s">
        <v>343</v>
      </c>
      <c r="L105">
        <v>1476</v>
      </c>
      <c r="N105">
        <v>1013</v>
      </c>
      <c r="O105" t="s">
        <v>263</v>
      </c>
      <c r="P105" t="s">
        <v>264</v>
      </c>
      <c r="Q105">
        <v>1</v>
      </c>
      <c r="W105">
        <v>0</v>
      </c>
      <c r="X105">
        <v>421273387</v>
      </c>
      <c r="Y105">
        <v>141.44999999999999</v>
      </c>
      <c r="AA105">
        <v>0</v>
      </c>
      <c r="AB105">
        <v>0</v>
      </c>
      <c r="AC105">
        <v>0</v>
      </c>
      <c r="AD105">
        <v>6.94</v>
      </c>
      <c r="AE105">
        <v>0</v>
      </c>
      <c r="AF105">
        <v>0</v>
      </c>
      <c r="AG105">
        <v>0</v>
      </c>
      <c r="AH105">
        <v>6.94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123</v>
      </c>
      <c r="AU105" t="s">
        <v>63</v>
      </c>
      <c r="AV105">
        <v>1</v>
      </c>
      <c r="AW105">
        <v>2</v>
      </c>
      <c r="AX105">
        <v>34850474</v>
      </c>
      <c r="AY105">
        <v>1</v>
      </c>
      <c r="AZ105">
        <v>0</v>
      </c>
      <c r="BA105">
        <v>103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Y105*Source!I56</f>
        <v>35.362499999999997</v>
      </c>
      <c r="CY105">
        <f>AD105</f>
        <v>6.94</v>
      </c>
      <c r="CZ105">
        <f>AH105</f>
        <v>6.94</v>
      </c>
      <c r="DA105">
        <f>AL105</f>
        <v>1</v>
      </c>
      <c r="DB105">
        <v>0</v>
      </c>
    </row>
    <row r="106" spans="1:106">
      <c r="A106">
        <f>ROW(Source!A57)</f>
        <v>57</v>
      </c>
      <c r="B106">
        <v>34847877</v>
      </c>
      <c r="C106">
        <v>34850473</v>
      </c>
      <c r="D106">
        <v>24225554</v>
      </c>
      <c r="E106">
        <v>1</v>
      </c>
      <c r="F106">
        <v>1</v>
      </c>
      <c r="G106">
        <v>1</v>
      </c>
      <c r="H106">
        <v>1</v>
      </c>
      <c r="I106" t="s">
        <v>342</v>
      </c>
      <c r="J106" t="s">
        <v>3</v>
      </c>
      <c r="K106" t="s">
        <v>343</v>
      </c>
      <c r="L106">
        <v>1476</v>
      </c>
      <c r="N106">
        <v>1013</v>
      </c>
      <c r="O106" t="s">
        <v>263</v>
      </c>
      <c r="P106" t="s">
        <v>264</v>
      </c>
      <c r="Q106">
        <v>1</v>
      </c>
      <c r="W106">
        <v>0</v>
      </c>
      <c r="X106">
        <v>421273387</v>
      </c>
      <c r="Y106">
        <v>141.44999999999999</v>
      </c>
      <c r="AA106">
        <v>0</v>
      </c>
      <c r="AB106">
        <v>0</v>
      </c>
      <c r="AC106">
        <v>0</v>
      </c>
      <c r="AD106">
        <v>114.09</v>
      </c>
      <c r="AE106">
        <v>0</v>
      </c>
      <c r="AF106">
        <v>0</v>
      </c>
      <c r="AG106">
        <v>0</v>
      </c>
      <c r="AH106">
        <v>6.94</v>
      </c>
      <c r="AI106">
        <v>1</v>
      </c>
      <c r="AJ106">
        <v>1</v>
      </c>
      <c r="AK106">
        <v>1</v>
      </c>
      <c r="AL106">
        <v>16.440000000000001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123</v>
      </c>
      <c r="AU106" t="s">
        <v>63</v>
      </c>
      <c r="AV106">
        <v>1</v>
      </c>
      <c r="AW106">
        <v>2</v>
      </c>
      <c r="AX106">
        <v>34850474</v>
      </c>
      <c r="AY106">
        <v>1</v>
      </c>
      <c r="AZ106">
        <v>0</v>
      </c>
      <c r="BA106">
        <v>104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Y106*Source!I57</f>
        <v>35.362499999999997</v>
      </c>
      <c r="CY106">
        <f>AD106</f>
        <v>114.09</v>
      </c>
      <c r="CZ106">
        <f>AH106</f>
        <v>6.94</v>
      </c>
      <c r="DA106">
        <f>AL106</f>
        <v>16.440000000000001</v>
      </c>
      <c r="DB106">
        <v>0</v>
      </c>
    </row>
    <row r="107" spans="1:106">
      <c r="A107">
        <f>ROW(Source!A58)</f>
        <v>58</v>
      </c>
      <c r="B107">
        <v>34847864</v>
      </c>
      <c r="C107">
        <v>34850476</v>
      </c>
      <c r="D107">
        <v>24234250</v>
      </c>
      <c r="E107">
        <v>1</v>
      </c>
      <c r="F107">
        <v>1</v>
      </c>
      <c r="G107">
        <v>1</v>
      </c>
      <c r="H107">
        <v>1</v>
      </c>
      <c r="I107" t="s">
        <v>344</v>
      </c>
      <c r="J107" t="s">
        <v>3</v>
      </c>
      <c r="K107" t="s">
        <v>345</v>
      </c>
      <c r="L107">
        <v>1476</v>
      </c>
      <c r="N107">
        <v>1013</v>
      </c>
      <c r="O107" t="s">
        <v>263</v>
      </c>
      <c r="P107" t="s">
        <v>264</v>
      </c>
      <c r="Q107">
        <v>1</v>
      </c>
      <c r="W107">
        <v>0</v>
      </c>
      <c r="X107">
        <v>-1976580471</v>
      </c>
      <c r="Y107">
        <v>46</v>
      </c>
      <c r="AA107">
        <v>0</v>
      </c>
      <c r="AB107">
        <v>0</v>
      </c>
      <c r="AC107">
        <v>0</v>
      </c>
      <c r="AD107">
        <v>6.46</v>
      </c>
      <c r="AE107">
        <v>0</v>
      </c>
      <c r="AF107">
        <v>0</v>
      </c>
      <c r="AG107">
        <v>0</v>
      </c>
      <c r="AH107">
        <v>6.46</v>
      </c>
      <c r="AI107">
        <v>1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40</v>
      </c>
      <c r="AU107" t="s">
        <v>63</v>
      </c>
      <c r="AV107">
        <v>1</v>
      </c>
      <c r="AW107">
        <v>2</v>
      </c>
      <c r="AX107">
        <v>34850477</v>
      </c>
      <c r="AY107">
        <v>1</v>
      </c>
      <c r="AZ107">
        <v>0</v>
      </c>
      <c r="BA107">
        <v>105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Y107*Source!I58</f>
        <v>115</v>
      </c>
      <c r="CY107">
        <f>AD107</f>
        <v>6.46</v>
      </c>
      <c r="CZ107">
        <f>AH107</f>
        <v>6.46</v>
      </c>
      <c r="DA107">
        <f>AL107</f>
        <v>1</v>
      </c>
      <c r="DB107">
        <v>0</v>
      </c>
    </row>
    <row r="108" spans="1:106">
      <c r="A108">
        <f>ROW(Source!A58)</f>
        <v>58</v>
      </c>
      <c r="B108">
        <v>34847864</v>
      </c>
      <c r="C108">
        <v>34850476</v>
      </c>
      <c r="D108">
        <v>26607512</v>
      </c>
      <c r="E108">
        <v>1</v>
      </c>
      <c r="F108">
        <v>1</v>
      </c>
      <c r="G108">
        <v>1</v>
      </c>
      <c r="H108">
        <v>3</v>
      </c>
      <c r="I108" t="s">
        <v>346</v>
      </c>
      <c r="J108" t="s">
        <v>347</v>
      </c>
      <c r="K108" t="s">
        <v>348</v>
      </c>
      <c r="L108">
        <v>1339</v>
      </c>
      <c r="N108">
        <v>1007</v>
      </c>
      <c r="O108" t="s">
        <v>69</v>
      </c>
      <c r="P108" t="s">
        <v>69</v>
      </c>
      <c r="Q108">
        <v>1</v>
      </c>
      <c r="W108">
        <v>0</v>
      </c>
      <c r="X108">
        <v>984130675</v>
      </c>
      <c r="Y108">
        <v>15</v>
      </c>
      <c r="AA108">
        <v>125.84</v>
      </c>
      <c r="AB108">
        <v>0</v>
      </c>
      <c r="AC108">
        <v>0</v>
      </c>
      <c r="AD108">
        <v>0</v>
      </c>
      <c r="AE108">
        <v>125.84</v>
      </c>
      <c r="AF108">
        <v>0</v>
      </c>
      <c r="AG108">
        <v>0</v>
      </c>
      <c r="AH108">
        <v>0</v>
      </c>
      <c r="AI108">
        <v>1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0</v>
      </c>
      <c r="AQ108">
        <v>0</v>
      </c>
      <c r="AR108">
        <v>0</v>
      </c>
      <c r="AS108" t="s">
        <v>3</v>
      </c>
      <c r="AT108">
        <v>15</v>
      </c>
      <c r="AU108" t="s">
        <v>3</v>
      </c>
      <c r="AV108">
        <v>0</v>
      </c>
      <c r="AW108">
        <v>2</v>
      </c>
      <c r="AX108">
        <v>34850478</v>
      </c>
      <c r="AY108">
        <v>1</v>
      </c>
      <c r="AZ108">
        <v>0</v>
      </c>
      <c r="BA108">
        <v>106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Y108*Source!I58</f>
        <v>37.5</v>
      </c>
      <c r="CY108">
        <f>AA108</f>
        <v>125.84</v>
      </c>
      <c r="CZ108">
        <f>AE108</f>
        <v>125.84</v>
      </c>
      <c r="DA108">
        <f>AI108</f>
        <v>1</v>
      </c>
      <c r="DB108">
        <v>0</v>
      </c>
    </row>
    <row r="109" spans="1:106">
      <c r="A109">
        <f>ROW(Source!A59)</f>
        <v>59</v>
      </c>
      <c r="B109">
        <v>34847877</v>
      </c>
      <c r="C109">
        <v>34850476</v>
      </c>
      <c r="D109">
        <v>24234250</v>
      </c>
      <c r="E109">
        <v>1</v>
      </c>
      <c r="F109">
        <v>1</v>
      </c>
      <c r="G109">
        <v>1</v>
      </c>
      <c r="H109">
        <v>1</v>
      </c>
      <c r="I109" t="s">
        <v>344</v>
      </c>
      <c r="J109" t="s">
        <v>3</v>
      </c>
      <c r="K109" t="s">
        <v>345</v>
      </c>
      <c r="L109">
        <v>1476</v>
      </c>
      <c r="N109">
        <v>1013</v>
      </c>
      <c r="O109" t="s">
        <v>263</v>
      </c>
      <c r="P109" t="s">
        <v>264</v>
      </c>
      <c r="Q109">
        <v>1</v>
      </c>
      <c r="W109">
        <v>0</v>
      </c>
      <c r="X109">
        <v>-1976580471</v>
      </c>
      <c r="Y109">
        <v>46</v>
      </c>
      <c r="AA109">
        <v>0</v>
      </c>
      <c r="AB109">
        <v>0</v>
      </c>
      <c r="AC109">
        <v>0</v>
      </c>
      <c r="AD109">
        <v>106.2</v>
      </c>
      <c r="AE109">
        <v>0</v>
      </c>
      <c r="AF109">
        <v>0</v>
      </c>
      <c r="AG109">
        <v>0</v>
      </c>
      <c r="AH109">
        <v>6.46</v>
      </c>
      <c r="AI109">
        <v>1</v>
      </c>
      <c r="AJ109">
        <v>1</v>
      </c>
      <c r="AK109">
        <v>1</v>
      </c>
      <c r="AL109">
        <v>16.440000000000001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</v>
      </c>
      <c r="AT109">
        <v>40</v>
      </c>
      <c r="AU109" t="s">
        <v>63</v>
      </c>
      <c r="AV109">
        <v>1</v>
      </c>
      <c r="AW109">
        <v>2</v>
      </c>
      <c r="AX109">
        <v>34850477</v>
      </c>
      <c r="AY109">
        <v>1</v>
      </c>
      <c r="AZ109">
        <v>0</v>
      </c>
      <c r="BA109">
        <v>107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Y109*Source!I59</f>
        <v>115</v>
      </c>
      <c r="CY109">
        <f>AD109</f>
        <v>106.2</v>
      </c>
      <c r="CZ109">
        <f>AH109</f>
        <v>6.46</v>
      </c>
      <c r="DA109">
        <f>AL109</f>
        <v>16.440000000000001</v>
      </c>
      <c r="DB109">
        <v>0</v>
      </c>
    </row>
    <row r="110" spans="1:106">
      <c r="A110">
        <f>ROW(Source!A59)</f>
        <v>59</v>
      </c>
      <c r="B110">
        <v>34847877</v>
      </c>
      <c r="C110">
        <v>34850476</v>
      </c>
      <c r="D110">
        <v>26607512</v>
      </c>
      <c r="E110">
        <v>1</v>
      </c>
      <c r="F110">
        <v>1</v>
      </c>
      <c r="G110">
        <v>1</v>
      </c>
      <c r="H110">
        <v>3</v>
      </c>
      <c r="I110" t="s">
        <v>346</v>
      </c>
      <c r="J110" t="s">
        <v>347</v>
      </c>
      <c r="K110" t="s">
        <v>348</v>
      </c>
      <c r="L110">
        <v>1339</v>
      </c>
      <c r="N110">
        <v>1007</v>
      </c>
      <c r="O110" t="s">
        <v>69</v>
      </c>
      <c r="P110" t="s">
        <v>69</v>
      </c>
      <c r="Q110">
        <v>1</v>
      </c>
      <c r="W110">
        <v>0</v>
      </c>
      <c r="X110">
        <v>984130675</v>
      </c>
      <c r="Y110">
        <v>15</v>
      </c>
      <c r="AA110">
        <v>742.46</v>
      </c>
      <c r="AB110">
        <v>0</v>
      </c>
      <c r="AC110">
        <v>0</v>
      </c>
      <c r="AD110">
        <v>0</v>
      </c>
      <c r="AE110">
        <v>125.84</v>
      </c>
      <c r="AF110">
        <v>0</v>
      </c>
      <c r="AG110">
        <v>0</v>
      </c>
      <c r="AH110">
        <v>0</v>
      </c>
      <c r="AI110">
        <v>5.9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15</v>
      </c>
      <c r="AU110" t="s">
        <v>3</v>
      </c>
      <c r="AV110">
        <v>0</v>
      </c>
      <c r="AW110">
        <v>2</v>
      </c>
      <c r="AX110">
        <v>34850478</v>
      </c>
      <c r="AY110">
        <v>1</v>
      </c>
      <c r="AZ110">
        <v>0</v>
      </c>
      <c r="BA110">
        <v>108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Y110*Source!I59</f>
        <v>37.5</v>
      </c>
      <c r="CY110">
        <f>AA110</f>
        <v>742.46</v>
      </c>
      <c r="CZ110">
        <f>AE110</f>
        <v>125.84</v>
      </c>
      <c r="DA110">
        <f>AI110</f>
        <v>5.9</v>
      </c>
      <c r="DB110">
        <v>0</v>
      </c>
    </row>
    <row r="111" spans="1:106">
      <c r="A111">
        <f>ROW(Source!A60)</f>
        <v>60</v>
      </c>
      <c r="B111">
        <v>34847864</v>
      </c>
      <c r="C111">
        <v>34850483</v>
      </c>
      <c r="D111">
        <v>121548</v>
      </c>
      <c r="E111">
        <v>1</v>
      </c>
      <c r="F111">
        <v>1</v>
      </c>
      <c r="G111">
        <v>1</v>
      </c>
      <c r="H111">
        <v>1</v>
      </c>
      <c r="I111" t="s">
        <v>23</v>
      </c>
      <c r="J111" t="s">
        <v>3</v>
      </c>
      <c r="K111" t="s">
        <v>265</v>
      </c>
      <c r="L111">
        <v>608254</v>
      </c>
      <c r="N111">
        <v>1013</v>
      </c>
      <c r="O111" t="s">
        <v>266</v>
      </c>
      <c r="P111" t="s">
        <v>266</v>
      </c>
      <c r="Q111">
        <v>1</v>
      </c>
      <c r="W111">
        <v>0</v>
      </c>
      <c r="X111">
        <v>-185737400</v>
      </c>
      <c r="Y111">
        <v>0.625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1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0.5</v>
      </c>
      <c r="AU111" t="s">
        <v>62</v>
      </c>
      <c r="AV111">
        <v>2</v>
      </c>
      <c r="AW111">
        <v>2</v>
      </c>
      <c r="AX111">
        <v>34850484</v>
      </c>
      <c r="AY111">
        <v>1</v>
      </c>
      <c r="AZ111">
        <v>0</v>
      </c>
      <c r="BA111">
        <v>109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Y111*Source!I60</f>
        <v>1.5625E-2</v>
      </c>
      <c r="CY111">
        <f>AD111</f>
        <v>0</v>
      </c>
      <c r="CZ111">
        <f>AH111</f>
        <v>0</v>
      </c>
      <c r="DA111">
        <f>AL111</f>
        <v>1</v>
      </c>
      <c r="DB111">
        <v>0</v>
      </c>
    </row>
    <row r="112" spans="1:106">
      <c r="A112">
        <f>ROW(Source!A60)</f>
        <v>60</v>
      </c>
      <c r="B112">
        <v>34847864</v>
      </c>
      <c r="C112">
        <v>34850483</v>
      </c>
      <c r="D112">
        <v>26553715</v>
      </c>
      <c r="E112">
        <v>1</v>
      </c>
      <c r="F112">
        <v>1</v>
      </c>
      <c r="G112">
        <v>1</v>
      </c>
      <c r="H112">
        <v>2</v>
      </c>
      <c r="I112" t="s">
        <v>349</v>
      </c>
      <c r="J112" t="s">
        <v>350</v>
      </c>
      <c r="K112" t="s">
        <v>351</v>
      </c>
      <c r="L112">
        <v>26553684</v>
      </c>
      <c r="N112">
        <v>1013</v>
      </c>
      <c r="O112" t="s">
        <v>270</v>
      </c>
      <c r="P112" t="s">
        <v>270</v>
      </c>
      <c r="Q112">
        <v>1</v>
      </c>
      <c r="W112">
        <v>0</v>
      </c>
      <c r="X112">
        <v>758709702</v>
      </c>
      <c r="Y112">
        <v>0.625</v>
      </c>
      <c r="AA112">
        <v>0</v>
      </c>
      <c r="AB112">
        <v>74.37</v>
      </c>
      <c r="AC112">
        <v>13.26</v>
      </c>
      <c r="AD112">
        <v>0</v>
      </c>
      <c r="AE112">
        <v>0</v>
      </c>
      <c r="AF112">
        <v>74.37</v>
      </c>
      <c r="AG112">
        <v>13.26</v>
      </c>
      <c r="AH112">
        <v>0</v>
      </c>
      <c r="AI112">
        <v>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0.5</v>
      </c>
      <c r="AU112" t="s">
        <v>62</v>
      </c>
      <c r="AV112">
        <v>0</v>
      </c>
      <c r="AW112">
        <v>2</v>
      </c>
      <c r="AX112">
        <v>34850485</v>
      </c>
      <c r="AY112">
        <v>1</v>
      </c>
      <c r="AZ112">
        <v>0</v>
      </c>
      <c r="BA112">
        <v>110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Y112*Source!I60</f>
        <v>1.5625E-2</v>
      </c>
      <c r="CY112">
        <f>AB112</f>
        <v>74.37</v>
      </c>
      <c r="CZ112">
        <f>AF112</f>
        <v>74.37</v>
      </c>
      <c r="DA112">
        <f>AJ112</f>
        <v>1</v>
      </c>
      <c r="DB112">
        <v>0</v>
      </c>
    </row>
    <row r="113" spans="1:106">
      <c r="A113">
        <f>ROW(Source!A60)</f>
        <v>60</v>
      </c>
      <c r="B113">
        <v>34847864</v>
      </c>
      <c r="C113">
        <v>34850483</v>
      </c>
      <c r="D113">
        <v>26554269</v>
      </c>
      <c r="E113">
        <v>1</v>
      </c>
      <c r="F113">
        <v>1</v>
      </c>
      <c r="G113">
        <v>1</v>
      </c>
      <c r="H113">
        <v>2</v>
      </c>
      <c r="I113" t="s">
        <v>352</v>
      </c>
      <c r="J113" t="s">
        <v>353</v>
      </c>
      <c r="K113" t="s">
        <v>354</v>
      </c>
      <c r="L113">
        <v>26553684</v>
      </c>
      <c r="N113">
        <v>1013</v>
      </c>
      <c r="O113" t="s">
        <v>270</v>
      </c>
      <c r="P113" t="s">
        <v>270</v>
      </c>
      <c r="Q113">
        <v>1</v>
      </c>
      <c r="W113">
        <v>0</v>
      </c>
      <c r="X113">
        <v>290104457</v>
      </c>
      <c r="Y113">
        <v>0.625</v>
      </c>
      <c r="AA113">
        <v>0</v>
      </c>
      <c r="AB113">
        <v>48.2</v>
      </c>
      <c r="AC113">
        <v>0</v>
      </c>
      <c r="AD113">
        <v>0</v>
      </c>
      <c r="AE113">
        <v>0</v>
      </c>
      <c r="AF113">
        <v>48.2</v>
      </c>
      <c r="AG113">
        <v>0</v>
      </c>
      <c r="AH113">
        <v>0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0.5</v>
      </c>
      <c r="AU113" t="s">
        <v>62</v>
      </c>
      <c r="AV113">
        <v>0</v>
      </c>
      <c r="AW113">
        <v>2</v>
      </c>
      <c r="AX113">
        <v>34850486</v>
      </c>
      <c r="AY113">
        <v>1</v>
      </c>
      <c r="AZ113">
        <v>0</v>
      </c>
      <c r="BA113">
        <v>111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Y113*Source!I60</f>
        <v>1.5625E-2</v>
      </c>
      <c r="CY113">
        <f>AB113</f>
        <v>48.2</v>
      </c>
      <c r="CZ113">
        <f>AF113</f>
        <v>48.2</v>
      </c>
      <c r="DA113">
        <f>AJ113</f>
        <v>1</v>
      </c>
      <c r="DB113">
        <v>0</v>
      </c>
    </row>
    <row r="114" spans="1:106">
      <c r="A114">
        <f>ROW(Source!A60)</f>
        <v>60</v>
      </c>
      <c r="B114">
        <v>34847864</v>
      </c>
      <c r="C114">
        <v>34850483</v>
      </c>
      <c r="D114">
        <v>26609388</v>
      </c>
      <c r="E114">
        <v>1</v>
      </c>
      <c r="F114">
        <v>1</v>
      </c>
      <c r="G114">
        <v>1</v>
      </c>
      <c r="H114">
        <v>3</v>
      </c>
      <c r="I114" t="s">
        <v>127</v>
      </c>
      <c r="J114" t="s">
        <v>130</v>
      </c>
      <c r="K114" t="s">
        <v>128</v>
      </c>
      <c r="L114">
        <v>1346</v>
      </c>
      <c r="N114">
        <v>1009</v>
      </c>
      <c r="O114" t="s">
        <v>129</v>
      </c>
      <c r="P114" t="s">
        <v>129</v>
      </c>
      <c r="Q114">
        <v>1</v>
      </c>
      <c r="W114">
        <v>0</v>
      </c>
      <c r="X114">
        <v>1221729220</v>
      </c>
      <c r="Y114">
        <v>250</v>
      </c>
      <c r="AA114">
        <v>135.72999999999999</v>
      </c>
      <c r="AB114">
        <v>0</v>
      </c>
      <c r="AC114">
        <v>0</v>
      </c>
      <c r="AD114">
        <v>0</v>
      </c>
      <c r="AE114">
        <v>135.72999999999999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N114">
        <v>0</v>
      </c>
      <c r="AO114">
        <v>0</v>
      </c>
      <c r="AP114">
        <v>0</v>
      </c>
      <c r="AQ114">
        <v>0</v>
      </c>
      <c r="AR114">
        <v>0</v>
      </c>
      <c r="AS114" t="s">
        <v>3</v>
      </c>
      <c r="AT114">
        <v>250</v>
      </c>
      <c r="AU114" t="s">
        <v>3</v>
      </c>
      <c r="AV114">
        <v>0</v>
      </c>
      <c r="AW114">
        <v>1</v>
      </c>
      <c r="AX114">
        <v>-1</v>
      </c>
      <c r="AY114">
        <v>0</v>
      </c>
      <c r="AZ114">
        <v>0</v>
      </c>
      <c r="BA114" t="s">
        <v>3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Y114*Source!I60</f>
        <v>6.25</v>
      </c>
      <c r="CY114">
        <f>AA114</f>
        <v>135.72999999999999</v>
      </c>
      <c r="CZ114">
        <f>AE114</f>
        <v>135.72999999999999</v>
      </c>
      <c r="DA114">
        <f>AI114</f>
        <v>1</v>
      </c>
      <c r="DB114">
        <v>0</v>
      </c>
    </row>
    <row r="115" spans="1:106">
      <c r="A115">
        <f>ROW(Source!A61)</f>
        <v>61</v>
      </c>
      <c r="B115">
        <v>34847877</v>
      </c>
      <c r="C115">
        <v>34850483</v>
      </c>
      <c r="D115">
        <v>121548</v>
      </c>
      <c r="E115">
        <v>1</v>
      </c>
      <c r="F115">
        <v>1</v>
      </c>
      <c r="G115">
        <v>1</v>
      </c>
      <c r="H115">
        <v>1</v>
      </c>
      <c r="I115" t="s">
        <v>23</v>
      </c>
      <c r="J115" t="s">
        <v>3</v>
      </c>
      <c r="K115" t="s">
        <v>265</v>
      </c>
      <c r="L115">
        <v>608254</v>
      </c>
      <c r="N115">
        <v>1013</v>
      </c>
      <c r="O115" t="s">
        <v>266</v>
      </c>
      <c r="P115" t="s">
        <v>266</v>
      </c>
      <c r="Q115">
        <v>1</v>
      </c>
      <c r="W115">
        <v>0</v>
      </c>
      <c r="X115">
        <v>-185737400</v>
      </c>
      <c r="Y115">
        <v>0.625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1</v>
      </c>
      <c r="AJ115">
        <v>1</v>
      </c>
      <c r="AK115">
        <v>16.440000000000001</v>
      </c>
      <c r="AL115">
        <v>1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</v>
      </c>
      <c r="AT115">
        <v>0.5</v>
      </c>
      <c r="AU115" t="s">
        <v>62</v>
      </c>
      <c r="AV115">
        <v>2</v>
      </c>
      <c r="AW115">
        <v>2</v>
      </c>
      <c r="AX115">
        <v>34850484</v>
      </c>
      <c r="AY115">
        <v>1</v>
      </c>
      <c r="AZ115">
        <v>0</v>
      </c>
      <c r="BA115">
        <v>113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Y115*Source!I61</f>
        <v>1.5625E-2</v>
      </c>
      <c r="CY115">
        <f>AD115</f>
        <v>0</v>
      </c>
      <c r="CZ115">
        <f>AH115</f>
        <v>0</v>
      </c>
      <c r="DA115">
        <f>AL115</f>
        <v>1</v>
      </c>
      <c r="DB115">
        <v>0</v>
      </c>
    </row>
    <row r="116" spans="1:106">
      <c r="A116">
        <f>ROW(Source!A61)</f>
        <v>61</v>
      </c>
      <c r="B116">
        <v>34847877</v>
      </c>
      <c r="C116">
        <v>34850483</v>
      </c>
      <c r="D116">
        <v>26553715</v>
      </c>
      <c r="E116">
        <v>1</v>
      </c>
      <c r="F116">
        <v>1</v>
      </c>
      <c r="G116">
        <v>1</v>
      </c>
      <c r="H116">
        <v>2</v>
      </c>
      <c r="I116" t="s">
        <v>349</v>
      </c>
      <c r="J116" t="s">
        <v>350</v>
      </c>
      <c r="K116" t="s">
        <v>351</v>
      </c>
      <c r="L116">
        <v>26553684</v>
      </c>
      <c r="N116">
        <v>1013</v>
      </c>
      <c r="O116" t="s">
        <v>270</v>
      </c>
      <c r="P116" t="s">
        <v>270</v>
      </c>
      <c r="Q116">
        <v>1</v>
      </c>
      <c r="W116">
        <v>0</v>
      </c>
      <c r="X116">
        <v>758709702</v>
      </c>
      <c r="Y116">
        <v>0.625</v>
      </c>
      <c r="AA116">
        <v>0</v>
      </c>
      <c r="AB116">
        <v>461.84</v>
      </c>
      <c r="AC116">
        <v>217.99</v>
      </c>
      <c r="AD116">
        <v>0</v>
      </c>
      <c r="AE116">
        <v>0</v>
      </c>
      <c r="AF116">
        <v>74.37</v>
      </c>
      <c r="AG116">
        <v>13.26</v>
      </c>
      <c r="AH116">
        <v>0</v>
      </c>
      <c r="AI116">
        <v>1</v>
      </c>
      <c r="AJ116">
        <v>6.21</v>
      </c>
      <c r="AK116">
        <v>16.440000000000001</v>
      </c>
      <c r="AL116">
        <v>1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</v>
      </c>
      <c r="AT116">
        <v>0.5</v>
      </c>
      <c r="AU116" t="s">
        <v>62</v>
      </c>
      <c r="AV116">
        <v>0</v>
      </c>
      <c r="AW116">
        <v>2</v>
      </c>
      <c r="AX116">
        <v>34850485</v>
      </c>
      <c r="AY116">
        <v>1</v>
      </c>
      <c r="AZ116">
        <v>0</v>
      </c>
      <c r="BA116">
        <v>114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Y116*Source!I61</f>
        <v>1.5625E-2</v>
      </c>
      <c r="CY116">
        <f>AB116</f>
        <v>461.84</v>
      </c>
      <c r="CZ116">
        <f>AF116</f>
        <v>74.37</v>
      </c>
      <c r="DA116">
        <f>AJ116</f>
        <v>6.21</v>
      </c>
      <c r="DB116">
        <v>0</v>
      </c>
    </row>
    <row r="117" spans="1:106">
      <c r="A117">
        <f>ROW(Source!A61)</f>
        <v>61</v>
      </c>
      <c r="B117">
        <v>34847877</v>
      </c>
      <c r="C117">
        <v>34850483</v>
      </c>
      <c r="D117">
        <v>26554269</v>
      </c>
      <c r="E117">
        <v>1</v>
      </c>
      <c r="F117">
        <v>1</v>
      </c>
      <c r="G117">
        <v>1</v>
      </c>
      <c r="H117">
        <v>2</v>
      </c>
      <c r="I117" t="s">
        <v>352</v>
      </c>
      <c r="J117" t="s">
        <v>353</v>
      </c>
      <c r="K117" t="s">
        <v>354</v>
      </c>
      <c r="L117">
        <v>26553684</v>
      </c>
      <c r="N117">
        <v>1013</v>
      </c>
      <c r="O117" t="s">
        <v>270</v>
      </c>
      <c r="P117" t="s">
        <v>270</v>
      </c>
      <c r="Q117">
        <v>1</v>
      </c>
      <c r="W117">
        <v>0</v>
      </c>
      <c r="X117">
        <v>290104457</v>
      </c>
      <c r="Y117">
        <v>0.625</v>
      </c>
      <c r="AA117">
        <v>0</v>
      </c>
      <c r="AB117">
        <v>299.32</v>
      </c>
      <c r="AC117">
        <v>0</v>
      </c>
      <c r="AD117">
        <v>0</v>
      </c>
      <c r="AE117">
        <v>0</v>
      </c>
      <c r="AF117">
        <v>48.2</v>
      </c>
      <c r="AG117">
        <v>0</v>
      </c>
      <c r="AH117">
        <v>0</v>
      </c>
      <c r="AI117">
        <v>1</v>
      </c>
      <c r="AJ117">
        <v>6.21</v>
      </c>
      <c r="AK117">
        <v>16.440000000000001</v>
      </c>
      <c r="AL117">
        <v>1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</v>
      </c>
      <c r="AT117">
        <v>0.5</v>
      </c>
      <c r="AU117" t="s">
        <v>62</v>
      </c>
      <c r="AV117">
        <v>0</v>
      </c>
      <c r="AW117">
        <v>2</v>
      </c>
      <c r="AX117">
        <v>34850486</v>
      </c>
      <c r="AY117">
        <v>1</v>
      </c>
      <c r="AZ117">
        <v>0</v>
      </c>
      <c r="BA117">
        <v>115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Y117*Source!I61</f>
        <v>1.5625E-2</v>
      </c>
      <c r="CY117">
        <f>AB117</f>
        <v>299.32</v>
      </c>
      <c r="CZ117">
        <f>AF117</f>
        <v>48.2</v>
      </c>
      <c r="DA117">
        <f>AJ117</f>
        <v>6.21</v>
      </c>
      <c r="DB117">
        <v>0</v>
      </c>
    </row>
    <row r="118" spans="1:106">
      <c r="A118">
        <f>ROW(Source!A61)</f>
        <v>61</v>
      </c>
      <c r="B118">
        <v>34847877</v>
      </c>
      <c r="C118">
        <v>34850483</v>
      </c>
      <c r="D118">
        <v>26609388</v>
      </c>
      <c r="E118">
        <v>1</v>
      </c>
      <c r="F118">
        <v>1</v>
      </c>
      <c r="G118">
        <v>1</v>
      </c>
      <c r="H118">
        <v>3</v>
      </c>
      <c r="I118" t="s">
        <v>127</v>
      </c>
      <c r="J118" t="s">
        <v>130</v>
      </c>
      <c r="K118" t="s">
        <v>128</v>
      </c>
      <c r="L118">
        <v>1346</v>
      </c>
      <c r="N118">
        <v>1009</v>
      </c>
      <c r="O118" t="s">
        <v>129</v>
      </c>
      <c r="P118" t="s">
        <v>129</v>
      </c>
      <c r="Q118">
        <v>1</v>
      </c>
      <c r="W118">
        <v>0</v>
      </c>
      <c r="X118">
        <v>1221729220</v>
      </c>
      <c r="Y118">
        <v>250</v>
      </c>
      <c r="AA118">
        <v>800.81</v>
      </c>
      <c r="AB118">
        <v>0</v>
      </c>
      <c r="AC118">
        <v>0</v>
      </c>
      <c r="AD118">
        <v>0</v>
      </c>
      <c r="AE118">
        <v>135.72999999999999</v>
      </c>
      <c r="AF118">
        <v>0</v>
      </c>
      <c r="AG118">
        <v>0</v>
      </c>
      <c r="AH118">
        <v>0</v>
      </c>
      <c r="AI118">
        <v>5.9</v>
      </c>
      <c r="AJ118">
        <v>1</v>
      </c>
      <c r="AK118">
        <v>1</v>
      </c>
      <c r="AL118">
        <v>1</v>
      </c>
      <c r="AN118">
        <v>0</v>
      </c>
      <c r="AO118">
        <v>0</v>
      </c>
      <c r="AP118">
        <v>0</v>
      </c>
      <c r="AQ118">
        <v>0</v>
      </c>
      <c r="AR118">
        <v>0</v>
      </c>
      <c r="AS118" t="s">
        <v>3</v>
      </c>
      <c r="AT118">
        <v>250</v>
      </c>
      <c r="AU118" t="s">
        <v>3</v>
      </c>
      <c r="AV118">
        <v>0</v>
      </c>
      <c r="AW118">
        <v>1</v>
      </c>
      <c r="AX118">
        <v>-1</v>
      </c>
      <c r="AY118">
        <v>0</v>
      </c>
      <c r="AZ118">
        <v>0</v>
      </c>
      <c r="BA118" t="s">
        <v>3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Y118*Source!I61</f>
        <v>6.25</v>
      </c>
      <c r="CY118">
        <f>AA118</f>
        <v>800.81</v>
      </c>
      <c r="CZ118">
        <f>AE118</f>
        <v>135.72999999999999</v>
      </c>
      <c r="DA118">
        <f>AI118</f>
        <v>5.9</v>
      </c>
      <c r="DB11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16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34847952</v>
      </c>
      <c r="C1">
        <v>34847951</v>
      </c>
      <c r="D1">
        <v>24225547</v>
      </c>
      <c r="E1">
        <v>1</v>
      </c>
      <c r="F1">
        <v>1</v>
      </c>
      <c r="G1">
        <v>1</v>
      </c>
      <c r="H1">
        <v>1</v>
      </c>
      <c r="I1" t="s">
        <v>261</v>
      </c>
      <c r="J1" t="s">
        <v>3</v>
      </c>
      <c r="K1" t="s">
        <v>262</v>
      </c>
      <c r="L1">
        <v>1476</v>
      </c>
      <c r="N1">
        <v>1013</v>
      </c>
      <c r="O1" t="s">
        <v>263</v>
      </c>
      <c r="P1" t="s">
        <v>264</v>
      </c>
      <c r="Q1">
        <v>1</v>
      </c>
      <c r="X1">
        <v>68.260000000000005</v>
      </c>
      <c r="Y1">
        <v>0</v>
      </c>
      <c r="Z1">
        <v>0</v>
      </c>
      <c r="AA1">
        <v>0</v>
      </c>
      <c r="AB1">
        <v>7.03</v>
      </c>
      <c r="AC1">
        <v>0</v>
      </c>
      <c r="AD1">
        <v>1</v>
      </c>
      <c r="AE1">
        <v>1</v>
      </c>
      <c r="AF1" t="s">
        <v>3</v>
      </c>
      <c r="AG1">
        <v>68.260000000000005</v>
      </c>
      <c r="AH1">
        <v>2</v>
      </c>
      <c r="AI1">
        <v>34847952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34847953</v>
      </c>
      <c r="C2">
        <v>34847951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23</v>
      </c>
      <c r="J2" t="s">
        <v>3</v>
      </c>
      <c r="K2" t="s">
        <v>265</v>
      </c>
      <c r="L2">
        <v>608254</v>
      </c>
      <c r="N2">
        <v>1013</v>
      </c>
      <c r="O2" t="s">
        <v>266</v>
      </c>
      <c r="P2" t="s">
        <v>266</v>
      </c>
      <c r="Q2">
        <v>1</v>
      </c>
      <c r="X2">
        <v>9.4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9.4</v>
      </c>
      <c r="AH2">
        <v>2</v>
      </c>
      <c r="AI2">
        <v>34847953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34847954</v>
      </c>
      <c r="C3">
        <v>34847951</v>
      </c>
      <c r="D3">
        <v>26554068</v>
      </c>
      <c r="E3">
        <v>1</v>
      </c>
      <c r="F3">
        <v>1</v>
      </c>
      <c r="G3">
        <v>1</v>
      </c>
      <c r="H3">
        <v>2</v>
      </c>
      <c r="I3" t="s">
        <v>267</v>
      </c>
      <c r="J3" t="s">
        <v>268</v>
      </c>
      <c r="K3" t="s">
        <v>269</v>
      </c>
      <c r="L3">
        <v>26553684</v>
      </c>
      <c r="N3">
        <v>1013</v>
      </c>
      <c r="O3" t="s">
        <v>270</v>
      </c>
      <c r="P3" t="s">
        <v>270</v>
      </c>
      <c r="Q3">
        <v>1</v>
      </c>
      <c r="X3">
        <v>9.4</v>
      </c>
      <c r="Y3">
        <v>0</v>
      </c>
      <c r="Z3">
        <v>89.82</v>
      </c>
      <c r="AA3">
        <v>9.8800000000000008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9.4</v>
      </c>
      <c r="AH3">
        <v>2</v>
      </c>
      <c r="AI3">
        <v>34847954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34847955</v>
      </c>
      <c r="C4">
        <v>34847951</v>
      </c>
      <c r="D4">
        <v>26555456</v>
      </c>
      <c r="E4">
        <v>1</v>
      </c>
      <c r="F4">
        <v>1</v>
      </c>
      <c r="G4">
        <v>1</v>
      </c>
      <c r="H4">
        <v>2</v>
      </c>
      <c r="I4" t="s">
        <v>271</v>
      </c>
      <c r="J4" t="s">
        <v>272</v>
      </c>
      <c r="K4" t="s">
        <v>273</v>
      </c>
      <c r="L4">
        <v>26553684</v>
      </c>
      <c r="N4">
        <v>1013</v>
      </c>
      <c r="O4" t="s">
        <v>270</v>
      </c>
      <c r="P4" t="s">
        <v>270</v>
      </c>
      <c r="Q4">
        <v>1</v>
      </c>
      <c r="X4">
        <v>28.2</v>
      </c>
      <c r="Y4">
        <v>0</v>
      </c>
      <c r="Z4">
        <v>1.53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28.2</v>
      </c>
      <c r="AH4">
        <v>2</v>
      </c>
      <c r="AI4">
        <v>34847955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ROW(Source!A25)</f>
        <v>25</v>
      </c>
      <c r="B5">
        <v>34847952</v>
      </c>
      <c r="C5">
        <v>34847951</v>
      </c>
      <c r="D5">
        <v>24225547</v>
      </c>
      <c r="E5">
        <v>1</v>
      </c>
      <c r="F5">
        <v>1</v>
      </c>
      <c r="G5">
        <v>1</v>
      </c>
      <c r="H5">
        <v>1</v>
      </c>
      <c r="I5" t="s">
        <v>261</v>
      </c>
      <c r="J5" t="s">
        <v>3</v>
      </c>
      <c r="K5" t="s">
        <v>262</v>
      </c>
      <c r="L5">
        <v>1476</v>
      </c>
      <c r="N5">
        <v>1013</v>
      </c>
      <c r="O5" t="s">
        <v>263</v>
      </c>
      <c r="P5" t="s">
        <v>264</v>
      </c>
      <c r="Q5">
        <v>1</v>
      </c>
      <c r="X5">
        <v>68.260000000000005</v>
      </c>
      <c r="Y5">
        <v>0</v>
      </c>
      <c r="Z5">
        <v>0</v>
      </c>
      <c r="AA5">
        <v>0</v>
      </c>
      <c r="AB5">
        <v>7.03</v>
      </c>
      <c r="AC5">
        <v>0</v>
      </c>
      <c r="AD5">
        <v>1</v>
      </c>
      <c r="AE5">
        <v>1</v>
      </c>
      <c r="AF5" t="s">
        <v>3</v>
      </c>
      <c r="AG5">
        <v>68.260000000000005</v>
      </c>
      <c r="AH5">
        <v>2</v>
      </c>
      <c r="AI5">
        <v>34847952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ROW(Source!A25)</f>
        <v>25</v>
      </c>
      <c r="B6">
        <v>34847953</v>
      </c>
      <c r="C6">
        <v>34847951</v>
      </c>
      <c r="D6">
        <v>121548</v>
      </c>
      <c r="E6">
        <v>1</v>
      </c>
      <c r="F6">
        <v>1</v>
      </c>
      <c r="G6">
        <v>1</v>
      </c>
      <c r="H6">
        <v>1</v>
      </c>
      <c r="I6" t="s">
        <v>23</v>
      </c>
      <c r="J6" t="s">
        <v>3</v>
      </c>
      <c r="K6" t="s">
        <v>265</v>
      </c>
      <c r="L6">
        <v>608254</v>
      </c>
      <c r="N6">
        <v>1013</v>
      </c>
      <c r="O6" t="s">
        <v>266</v>
      </c>
      <c r="P6" t="s">
        <v>266</v>
      </c>
      <c r="Q6">
        <v>1</v>
      </c>
      <c r="X6">
        <v>9.4</v>
      </c>
      <c r="Y6">
        <v>0</v>
      </c>
      <c r="Z6">
        <v>0</v>
      </c>
      <c r="AA6">
        <v>0</v>
      </c>
      <c r="AB6">
        <v>0</v>
      </c>
      <c r="AC6">
        <v>0</v>
      </c>
      <c r="AD6">
        <v>1</v>
      </c>
      <c r="AE6">
        <v>2</v>
      </c>
      <c r="AF6" t="s">
        <v>3</v>
      </c>
      <c r="AG6">
        <v>9.4</v>
      </c>
      <c r="AH6">
        <v>2</v>
      </c>
      <c r="AI6">
        <v>34847953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ROW(Source!A25)</f>
        <v>25</v>
      </c>
      <c r="B7">
        <v>34847954</v>
      </c>
      <c r="C7">
        <v>34847951</v>
      </c>
      <c r="D7">
        <v>26554068</v>
      </c>
      <c r="E7">
        <v>1</v>
      </c>
      <c r="F7">
        <v>1</v>
      </c>
      <c r="G7">
        <v>1</v>
      </c>
      <c r="H7">
        <v>2</v>
      </c>
      <c r="I7" t="s">
        <v>267</v>
      </c>
      <c r="J7" t="s">
        <v>268</v>
      </c>
      <c r="K7" t="s">
        <v>269</v>
      </c>
      <c r="L7">
        <v>26553684</v>
      </c>
      <c r="N7">
        <v>1013</v>
      </c>
      <c r="O7" t="s">
        <v>270</v>
      </c>
      <c r="P7" t="s">
        <v>270</v>
      </c>
      <c r="Q7">
        <v>1</v>
      </c>
      <c r="X7">
        <v>9.4</v>
      </c>
      <c r="Y7">
        <v>0</v>
      </c>
      <c r="Z7">
        <v>89.82</v>
      </c>
      <c r="AA7">
        <v>9.8800000000000008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9.4</v>
      </c>
      <c r="AH7">
        <v>2</v>
      </c>
      <c r="AI7">
        <v>34847954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ROW(Source!A25)</f>
        <v>25</v>
      </c>
      <c r="B8">
        <v>34847955</v>
      </c>
      <c r="C8">
        <v>34847951</v>
      </c>
      <c r="D8">
        <v>26555456</v>
      </c>
      <c r="E8">
        <v>1</v>
      </c>
      <c r="F8">
        <v>1</v>
      </c>
      <c r="G8">
        <v>1</v>
      </c>
      <c r="H8">
        <v>2</v>
      </c>
      <c r="I8" t="s">
        <v>271</v>
      </c>
      <c r="J8" t="s">
        <v>272</v>
      </c>
      <c r="K8" t="s">
        <v>273</v>
      </c>
      <c r="L8">
        <v>26553684</v>
      </c>
      <c r="N8">
        <v>1013</v>
      </c>
      <c r="O8" t="s">
        <v>270</v>
      </c>
      <c r="P8" t="s">
        <v>270</v>
      </c>
      <c r="Q8">
        <v>1</v>
      </c>
      <c r="X8">
        <v>28.2</v>
      </c>
      <c r="Y8">
        <v>0</v>
      </c>
      <c r="Z8">
        <v>1.53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28.2</v>
      </c>
      <c r="AH8">
        <v>2</v>
      </c>
      <c r="AI8">
        <v>34847955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34847974</v>
      </c>
      <c r="C9">
        <v>34847973</v>
      </c>
      <c r="D9">
        <v>24234206</v>
      </c>
      <c r="E9">
        <v>1</v>
      </c>
      <c r="F9">
        <v>1</v>
      </c>
      <c r="G9">
        <v>1</v>
      </c>
      <c r="H9">
        <v>1</v>
      </c>
      <c r="I9" t="s">
        <v>274</v>
      </c>
      <c r="J9" t="s">
        <v>3</v>
      </c>
      <c r="K9" t="s">
        <v>275</v>
      </c>
      <c r="L9">
        <v>1476</v>
      </c>
      <c r="N9">
        <v>1013</v>
      </c>
      <c r="O9" t="s">
        <v>263</v>
      </c>
      <c r="P9" t="s">
        <v>264</v>
      </c>
      <c r="Q9">
        <v>1</v>
      </c>
      <c r="X9">
        <v>18.68</v>
      </c>
      <c r="Y9">
        <v>0</v>
      </c>
      <c r="Z9">
        <v>0</v>
      </c>
      <c r="AA9">
        <v>0</v>
      </c>
      <c r="AB9">
        <v>6.2</v>
      </c>
      <c r="AC9">
        <v>0</v>
      </c>
      <c r="AD9">
        <v>1</v>
      </c>
      <c r="AE9">
        <v>1</v>
      </c>
      <c r="AF9" t="s">
        <v>3</v>
      </c>
      <c r="AG9">
        <v>18.68</v>
      </c>
      <c r="AH9">
        <v>2</v>
      </c>
      <c r="AI9">
        <v>34847974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ROW(Source!A27)</f>
        <v>27</v>
      </c>
      <c r="B10">
        <v>34847974</v>
      </c>
      <c r="C10">
        <v>34847973</v>
      </c>
      <c r="D10">
        <v>24234206</v>
      </c>
      <c r="E10">
        <v>1</v>
      </c>
      <c r="F10">
        <v>1</v>
      </c>
      <c r="G10">
        <v>1</v>
      </c>
      <c r="H10">
        <v>1</v>
      </c>
      <c r="I10" t="s">
        <v>274</v>
      </c>
      <c r="J10" t="s">
        <v>3</v>
      </c>
      <c r="K10" t="s">
        <v>275</v>
      </c>
      <c r="L10">
        <v>1476</v>
      </c>
      <c r="N10">
        <v>1013</v>
      </c>
      <c r="O10" t="s">
        <v>263</v>
      </c>
      <c r="P10" t="s">
        <v>264</v>
      </c>
      <c r="Q10">
        <v>1</v>
      </c>
      <c r="X10">
        <v>18.68</v>
      </c>
      <c r="Y10">
        <v>0</v>
      </c>
      <c r="Z10">
        <v>0</v>
      </c>
      <c r="AA10">
        <v>0</v>
      </c>
      <c r="AB10">
        <v>6.2</v>
      </c>
      <c r="AC10">
        <v>0</v>
      </c>
      <c r="AD10">
        <v>1</v>
      </c>
      <c r="AE10">
        <v>1</v>
      </c>
      <c r="AF10" t="s">
        <v>3</v>
      </c>
      <c r="AG10">
        <v>18.68</v>
      </c>
      <c r="AH10">
        <v>2</v>
      </c>
      <c r="AI10">
        <v>34847974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ROW(Source!A28)</f>
        <v>28</v>
      </c>
      <c r="B11">
        <v>34847989</v>
      </c>
      <c r="C11">
        <v>34847988</v>
      </c>
      <c r="D11">
        <v>24233608</v>
      </c>
      <c r="E11">
        <v>1</v>
      </c>
      <c r="F11">
        <v>1</v>
      </c>
      <c r="G11">
        <v>1</v>
      </c>
      <c r="H11">
        <v>1</v>
      </c>
      <c r="I11" t="s">
        <v>276</v>
      </c>
      <c r="J11" t="s">
        <v>3</v>
      </c>
      <c r="K11" t="s">
        <v>277</v>
      </c>
      <c r="L11">
        <v>1476</v>
      </c>
      <c r="N11">
        <v>1013</v>
      </c>
      <c r="O11" t="s">
        <v>263</v>
      </c>
      <c r="P11" t="s">
        <v>264</v>
      </c>
      <c r="Q11">
        <v>1</v>
      </c>
      <c r="X11">
        <v>31.32</v>
      </c>
      <c r="Y11">
        <v>0</v>
      </c>
      <c r="Z11">
        <v>0</v>
      </c>
      <c r="AA11">
        <v>0</v>
      </c>
      <c r="AB11">
        <v>6.35</v>
      </c>
      <c r="AC11">
        <v>0</v>
      </c>
      <c r="AD11">
        <v>1</v>
      </c>
      <c r="AE11">
        <v>1</v>
      </c>
      <c r="AF11" t="s">
        <v>12</v>
      </c>
      <c r="AG11">
        <v>36.018000000000001</v>
      </c>
      <c r="AH11">
        <v>2</v>
      </c>
      <c r="AI11">
        <v>34847989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ROW(Source!A28)</f>
        <v>28</v>
      </c>
      <c r="B12">
        <v>34847990</v>
      </c>
      <c r="C12">
        <v>34847988</v>
      </c>
      <c r="D12">
        <v>121548</v>
      </c>
      <c r="E12">
        <v>1</v>
      </c>
      <c r="F12">
        <v>1</v>
      </c>
      <c r="G12">
        <v>1</v>
      </c>
      <c r="H12">
        <v>1</v>
      </c>
      <c r="I12" t="s">
        <v>23</v>
      </c>
      <c r="J12" t="s">
        <v>3</v>
      </c>
      <c r="K12" t="s">
        <v>265</v>
      </c>
      <c r="L12">
        <v>608254</v>
      </c>
      <c r="N12">
        <v>1013</v>
      </c>
      <c r="O12" t="s">
        <v>266</v>
      </c>
      <c r="P12" t="s">
        <v>266</v>
      </c>
      <c r="Q12">
        <v>1</v>
      </c>
      <c r="X12">
        <v>90.09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2</v>
      </c>
      <c r="AF12" t="s">
        <v>11</v>
      </c>
      <c r="AG12">
        <v>112.61250000000001</v>
      </c>
      <c r="AH12">
        <v>2</v>
      </c>
      <c r="AI12">
        <v>34847990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ROW(Source!A28)</f>
        <v>28</v>
      </c>
      <c r="B13">
        <v>34847991</v>
      </c>
      <c r="C13">
        <v>34847988</v>
      </c>
      <c r="D13">
        <v>26554132</v>
      </c>
      <c r="E13">
        <v>1</v>
      </c>
      <c r="F13">
        <v>1</v>
      </c>
      <c r="G13">
        <v>1</v>
      </c>
      <c r="H13">
        <v>2</v>
      </c>
      <c r="I13" t="s">
        <v>278</v>
      </c>
      <c r="J13" t="s">
        <v>279</v>
      </c>
      <c r="K13" t="s">
        <v>280</v>
      </c>
      <c r="L13">
        <v>26553684</v>
      </c>
      <c r="N13">
        <v>1013</v>
      </c>
      <c r="O13" t="s">
        <v>270</v>
      </c>
      <c r="P13" t="s">
        <v>270</v>
      </c>
      <c r="Q13">
        <v>1</v>
      </c>
      <c r="X13">
        <v>73.040000000000006</v>
      </c>
      <c r="Y13">
        <v>0</v>
      </c>
      <c r="Z13">
        <v>69.790000000000006</v>
      </c>
      <c r="AA13">
        <v>11.38</v>
      </c>
      <c r="AB13">
        <v>0</v>
      </c>
      <c r="AC13">
        <v>0</v>
      </c>
      <c r="AD13">
        <v>1</v>
      </c>
      <c r="AE13">
        <v>0</v>
      </c>
      <c r="AF13" t="s">
        <v>11</v>
      </c>
      <c r="AG13">
        <v>91.300000000000011</v>
      </c>
      <c r="AH13">
        <v>2</v>
      </c>
      <c r="AI13">
        <v>34847991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ROW(Source!A28)</f>
        <v>28</v>
      </c>
      <c r="B14">
        <v>34847992</v>
      </c>
      <c r="C14">
        <v>34847988</v>
      </c>
      <c r="D14">
        <v>26554178</v>
      </c>
      <c r="E14">
        <v>1</v>
      </c>
      <c r="F14">
        <v>1</v>
      </c>
      <c r="G14">
        <v>1</v>
      </c>
      <c r="H14">
        <v>2</v>
      </c>
      <c r="I14" t="s">
        <v>281</v>
      </c>
      <c r="J14" t="s">
        <v>282</v>
      </c>
      <c r="K14" t="s">
        <v>283</v>
      </c>
      <c r="L14">
        <v>26553684</v>
      </c>
      <c r="N14">
        <v>1013</v>
      </c>
      <c r="O14" t="s">
        <v>270</v>
      </c>
      <c r="P14" t="s">
        <v>270</v>
      </c>
      <c r="Q14">
        <v>1</v>
      </c>
      <c r="X14">
        <v>17.05</v>
      </c>
      <c r="Y14">
        <v>0</v>
      </c>
      <c r="Z14">
        <v>61.15</v>
      </c>
      <c r="AA14">
        <v>11.38</v>
      </c>
      <c r="AB14">
        <v>0</v>
      </c>
      <c r="AC14">
        <v>0</v>
      </c>
      <c r="AD14">
        <v>1</v>
      </c>
      <c r="AE14">
        <v>0</v>
      </c>
      <c r="AF14" t="s">
        <v>11</v>
      </c>
      <c r="AG14">
        <v>21.3125</v>
      </c>
      <c r="AH14">
        <v>2</v>
      </c>
      <c r="AI14">
        <v>34847992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ROW(Source!A28)</f>
        <v>28</v>
      </c>
      <c r="B15">
        <v>34847993</v>
      </c>
      <c r="C15">
        <v>34847988</v>
      </c>
      <c r="D15">
        <v>26607555</v>
      </c>
      <c r="E15">
        <v>1</v>
      </c>
      <c r="F15">
        <v>1</v>
      </c>
      <c r="G15">
        <v>1</v>
      </c>
      <c r="H15">
        <v>3</v>
      </c>
      <c r="I15" t="s">
        <v>284</v>
      </c>
      <c r="J15" t="s">
        <v>285</v>
      </c>
      <c r="K15" t="s">
        <v>286</v>
      </c>
      <c r="L15">
        <v>1339</v>
      </c>
      <c r="N15">
        <v>1007</v>
      </c>
      <c r="O15" t="s">
        <v>69</v>
      </c>
      <c r="P15" t="s">
        <v>69</v>
      </c>
      <c r="Q15">
        <v>1</v>
      </c>
      <c r="X15">
        <v>0.04</v>
      </c>
      <c r="Y15">
        <v>121.11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0.04</v>
      </c>
      <c r="AH15">
        <v>2</v>
      </c>
      <c r="AI15">
        <v>34847993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ROW(Source!A29)</f>
        <v>29</v>
      </c>
      <c r="B16">
        <v>34847989</v>
      </c>
      <c r="C16">
        <v>34847988</v>
      </c>
      <c r="D16">
        <v>24233608</v>
      </c>
      <c r="E16">
        <v>1</v>
      </c>
      <c r="F16">
        <v>1</v>
      </c>
      <c r="G16">
        <v>1</v>
      </c>
      <c r="H16">
        <v>1</v>
      </c>
      <c r="I16" t="s">
        <v>276</v>
      </c>
      <c r="J16" t="s">
        <v>3</v>
      </c>
      <c r="K16" t="s">
        <v>277</v>
      </c>
      <c r="L16">
        <v>1476</v>
      </c>
      <c r="N16">
        <v>1013</v>
      </c>
      <c r="O16" t="s">
        <v>263</v>
      </c>
      <c r="P16" t="s">
        <v>264</v>
      </c>
      <c r="Q16">
        <v>1</v>
      </c>
      <c r="X16">
        <v>31.32</v>
      </c>
      <c r="Y16">
        <v>0</v>
      </c>
      <c r="Z16">
        <v>0</v>
      </c>
      <c r="AA16">
        <v>0</v>
      </c>
      <c r="AB16">
        <v>6.35</v>
      </c>
      <c r="AC16">
        <v>0</v>
      </c>
      <c r="AD16">
        <v>1</v>
      </c>
      <c r="AE16">
        <v>1</v>
      </c>
      <c r="AF16" t="s">
        <v>12</v>
      </c>
      <c r="AG16">
        <v>36.018000000000001</v>
      </c>
      <c r="AH16">
        <v>2</v>
      </c>
      <c r="AI16">
        <v>34847989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ROW(Source!A29)</f>
        <v>29</v>
      </c>
      <c r="B17">
        <v>34847990</v>
      </c>
      <c r="C17">
        <v>34847988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23</v>
      </c>
      <c r="J17" t="s">
        <v>3</v>
      </c>
      <c r="K17" t="s">
        <v>265</v>
      </c>
      <c r="L17">
        <v>608254</v>
      </c>
      <c r="N17">
        <v>1013</v>
      </c>
      <c r="O17" t="s">
        <v>266</v>
      </c>
      <c r="P17" t="s">
        <v>266</v>
      </c>
      <c r="Q17">
        <v>1</v>
      </c>
      <c r="X17">
        <v>90.09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2</v>
      </c>
      <c r="AF17" t="s">
        <v>11</v>
      </c>
      <c r="AG17">
        <v>112.61250000000001</v>
      </c>
      <c r="AH17">
        <v>2</v>
      </c>
      <c r="AI17">
        <v>34847990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ROW(Source!A29)</f>
        <v>29</v>
      </c>
      <c r="B18">
        <v>34847991</v>
      </c>
      <c r="C18">
        <v>34847988</v>
      </c>
      <c r="D18">
        <v>26554132</v>
      </c>
      <c r="E18">
        <v>1</v>
      </c>
      <c r="F18">
        <v>1</v>
      </c>
      <c r="G18">
        <v>1</v>
      </c>
      <c r="H18">
        <v>2</v>
      </c>
      <c r="I18" t="s">
        <v>278</v>
      </c>
      <c r="J18" t="s">
        <v>279</v>
      </c>
      <c r="K18" t="s">
        <v>280</v>
      </c>
      <c r="L18">
        <v>26553684</v>
      </c>
      <c r="N18">
        <v>1013</v>
      </c>
      <c r="O18" t="s">
        <v>270</v>
      </c>
      <c r="P18" t="s">
        <v>270</v>
      </c>
      <c r="Q18">
        <v>1</v>
      </c>
      <c r="X18">
        <v>73.040000000000006</v>
      </c>
      <c r="Y18">
        <v>0</v>
      </c>
      <c r="Z18">
        <v>69.790000000000006</v>
      </c>
      <c r="AA18">
        <v>11.38</v>
      </c>
      <c r="AB18">
        <v>0</v>
      </c>
      <c r="AC18">
        <v>0</v>
      </c>
      <c r="AD18">
        <v>1</v>
      </c>
      <c r="AE18">
        <v>0</v>
      </c>
      <c r="AF18" t="s">
        <v>11</v>
      </c>
      <c r="AG18">
        <v>91.300000000000011</v>
      </c>
      <c r="AH18">
        <v>2</v>
      </c>
      <c r="AI18">
        <v>34847991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ROW(Source!A29)</f>
        <v>29</v>
      </c>
      <c r="B19">
        <v>34847992</v>
      </c>
      <c r="C19">
        <v>34847988</v>
      </c>
      <c r="D19">
        <v>26554178</v>
      </c>
      <c r="E19">
        <v>1</v>
      </c>
      <c r="F19">
        <v>1</v>
      </c>
      <c r="G19">
        <v>1</v>
      </c>
      <c r="H19">
        <v>2</v>
      </c>
      <c r="I19" t="s">
        <v>281</v>
      </c>
      <c r="J19" t="s">
        <v>282</v>
      </c>
      <c r="K19" t="s">
        <v>283</v>
      </c>
      <c r="L19">
        <v>26553684</v>
      </c>
      <c r="N19">
        <v>1013</v>
      </c>
      <c r="O19" t="s">
        <v>270</v>
      </c>
      <c r="P19" t="s">
        <v>270</v>
      </c>
      <c r="Q19">
        <v>1</v>
      </c>
      <c r="X19">
        <v>17.05</v>
      </c>
      <c r="Y19">
        <v>0</v>
      </c>
      <c r="Z19">
        <v>61.15</v>
      </c>
      <c r="AA19">
        <v>11.38</v>
      </c>
      <c r="AB19">
        <v>0</v>
      </c>
      <c r="AC19">
        <v>0</v>
      </c>
      <c r="AD19">
        <v>1</v>
      </c>
      <c r="AE19">
        <v>0</v>
      </c>
      <c r="AF19" t="s">
        <v>11</v>
      </c>
      <c r="AG19">
        <v>21.3125</v>
      </c>
      <c r="AH19">
        <v>2</v>
      </c>
      <c r="AI19">
        <v>34847992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ROW(Source!A29)</f>
        <v>29</v>
      </c>
      <c r="B20">
        <v>34847993</v>
      </c>
      <c r="C20">
        <v>34847988</v>
      </c>
      <c r="D20">
        <v>26607555</v>
      </c>
      <c r="E20">
        <v>1</v>
      </c>
      <c r="F20">
        <v>1</v>
      </c>
      <c r="G20">
        <v>1</v>
      </c>
      <c r="H20">
        <v>3</v>
      </c>
      <c r="I20" t="s">
        <v>284</v>
      </c>
      <c r="J20" t="s">
        <v>285</v>
      </c>
      <c r="K20" t="s">
        <v>286</v>
      </c>
      <c r="L20">
        <v>1339</v>
      </c>
      <c r="N20">
        <v>1007</v>
      </c>
      <c r="O20" t="s">
        <v>69</v>
      </c>
      <c r="P20" t="s">
        <v>69</v>
      </c>
      <c r="Q20">
        <v>1</v>
      </c>
      <c r="X20">
        <v>0.04</v>
      </c>
      <c r="Y20">
        <v>121.11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0.04</v>
      </c>
      <c r="AH20">
        <v>2</v>
      </c>
      <c r="AI20">
        <v>34847993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ROW(Source!A32)</f>
        <v>32</v>
      </c>
      <c r="B21">
        <v>34847997</v>
      </c>
      <c r="C21">
        <v>34847996</v>
      </c>
      <c r="D21">
        <v>24225731</v>
      </c>
      <c r="E21">
        <v>1</v>
      </c>
      <c r="F21">
        <v>1</v>
      </c>
      <c r="G21">
        <v>1</v>
      </c>
      <c r="H21">
        <v>1</v>
      </c>
      <c r="I21" t="s">
        <v>287</v>
      </c>
      <c r="J21" t="s">
        <v>3</v>
      </c>
      <c r="K21" t="s">
        <v>288</v>
      </c>
      <c r="L21">
        <v>1476</v>
      </c>
      <c r="N21">
        <v>1013</v>
      </c>
      <c r="O21" t="s">
        <v>263</v>
      </c>
      <c r="P21" t="s">
        <v>264</v>
      </c>
      <c r="Q21">
        <v>1</v>
      </c>
      <c r="X21">
        <v>0.72</v>
      </c>
      <c r="Y21">
        <v>0</v>
      </c>
      <c r="Z21">
        <v>0</v>
      </c>
      <c r="AA21">
        <v>0</v>
      </c>
      <c r="AB21">
        <v>9.02</v>
      </c>
      <c r="AC21">
        <v>0</v>
      </c>
      <c r="AD21">
        <v>1</v>
      </c>
      <c r="AE21">
        <v>1</v>
      </c>
      <c r="AF21" t="s">
        <v>3</v>
      </c>
      <c r="AG21">
        <v>0.72</v>
      </c>
      <c r="AH21">
        <v>2</v>
      </c>
      <c r="AI21">
        <v>34847997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ROW(Source!A32)</f>
        <v>32</v>
      </c>
      <c r="B22">
        <v>34847998</v>
      </c>
      <c r="C22">
        <v>34847996</v>
      </c>
      <c r="D22">
        <v>121548</v>
      </c>
      <c r="E22">
        <v>1</v>
      </c>
      <c r="F22">
        <v>1</v>
      </c>
      <c r="G22">
        <v>1</v>
      </c>
      <c r="H22">
        <v>1</v>
      </c>
      <c r="I22" t="s">
        <v>23</v>
      </c>
      <c r="J22" t="s">
        <v>3</v>
      </c>
      <c r="K22" t="s">
        <v>265</v>
      </c>
      <c r="L22">
        <v>608254</v>
      </c>
      <c r="N22">
        <v>1013</v>
      </c>
      <c r="O22" t="s">
        <v>266</v>
      </c>
      <c r="P22" t="s">
        <v>266</v>
      </c>
      <c r="Q22">
        <v>1</v>
      </c>
      <c r="X22">
        <v>0.7</v>
      </c>
      <c r="Y22">
        <v>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2</v>
      </c>
      <c r="AF22" t="s">
        <v>3</v>
      </c>
      <c r="AG22">
        <v>0.7</v>
      </c>
      <c r="AH22">
        <v>2</v>
      </c>
      <c r="AI22">
        <v>34847998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ROW(Source!A32)</f>
        <v>32</v>
      </c>
      <c r="B23">
        <v>34847999</v>
      </c>
      <c r="C23">
        <v>34847996</v>
      </c>
      <c r="D23">
        <v>26554486</v>
      </c>
      <c r="E23">
        <v>1</v>
      </c>
      <c r="F23">
        <v>1</v>
      </c>
      <c r="G23">
        <v>1</v>
      </c>
      <c r="H23">
        <v>2</v>
      </c>
      <c r="I23" t="s">
        <v>289</v>
      </c>
      <c r="J23" t="s">
        <v>290</v>
      </c>
      <c r="K23" t="s">
        <v>291</v>
      </c>
      <c r="L23">
        <v>26553684</v>
      </c>
      <c r="N23">
        <v>1013</v>
      </c>
      <c r="O23" t="s">
        <v>270</v>
      </c>
      <c r="P23" t="s">
        <v>270</v>
      </c>
      <c r="Q23">
        <v>1</v>
      </c>
      <c r="X23">
        <v>0.7</v>
      </c>
      <c r="Y23">
        <v>0</v>
      </c>
      <c r="Z23">
        <v>110</v>
      </c>
      <c r="AA23">
        <v>11.38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0.7</v>
      </c>
      <c r="AH23">
        <v>2</v>
      </c>
      <c r="AI23">
        <v>34847999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ROW(Source!A32)</f>
        <v>32</v>
      </c>
      <c r="B24">
        <v>34848000</v>
      </c>
      <c r="C24">
        <v>34847996</v>
      </c>
      <c r="D24">
        <v>26574342</v>
      </c>
      <c r="E24">
        <v>1</v>
      </c>
      <c r="F24">
        <v>1</v>
      </c>
      <c r="G24">
        <v>1</v>
      </c>
      <c r="H24">
        <v>3</v>
      </c>
      <c r="I24" t="s">
        <v>355</v>
      </c>
      <c r="J24" t="s">
        <v>55</v>
      </c>
      <c r="K24" t="s">
        <v>356</v>
      </c>
      <c r="L24">
        <v>1346</v>
      </c>
      <c r="N24">
        <v>1009</v>
      </c>
      <c r="O24" t="s">
        <v>129</v>
      </c>
      <c r="P24" t="s">
        <v>129</v>
      </c>
      <c r="Q24">
        <v>1</v>
      </c>
      <c r="X24">
        <v>0</v>
      </c>
      <c r="Y24">
        <v>0</v>
      </c>
      <c r="Z24">
        <v>0</v>
      </c>
      <c r="AA24">
        <v>0</v>
      </c>
      <c r="AB24">
        <v>0</v>
      </c>
      <c r="AC24">
        <v>1</v>
      </c>
      <c r="AD24">
        <v>0</v>
      </c>
      <c r="AE24">
        <v>0</v>
      </c>
      <c r="AF24" t="s">
        <v>3</v>
      </c>
      <c r="AG24">
        <v>0</v>
      </c>
      <c r="AH24">
        <v>3</v>
      </c>
      <c r="AI24">
        <v>-1</v>
      </c>
      <c r="AJ24" t="s">
        <v>3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ROW(Source!A32)</f>
        <v>32</v>
      </c>
      <c r="B25">
        <v>34848001</v>
      </c>
      <c r="C25">
        <v>34847996</v>
      </c>
      <c r="D25">
        <v>26608102</v>
      </c>
      <c r="E25">
        <v>1</v>
      </c>
      <c r="F25">
        <v>1</v>
      </c>
      <c r="G25">
        <v>1</v>
      </c>
      <c r="H25">
        <v>3</v>
      </c>
      <c r="I25" t="s">
        <v>292</v>
      </c>
      <c r="J25" t="s">
        <v>293</v>
      </c>
      <c r="K25" t="s">
        <v>294</v>
      </c>
      <c r="L25">
        <v>1339</v>
      </c>
      <c r="N25">
        <v>1007</v>
      </c>
      <c r="O25" t="s">
        <v>69</v>
      </c>
      <c r="P25" t="s">
        <v>69</v>
      </c>
      <c r="Q25">
        <v>1</v>
      </c>
      <c r="X25">
        <v>0.3</v>
      </c>
      <c r="Y25">
        <v>2.2599999999999998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0.3</v>
      </c>
      <c r="AH25">
        <v>2</v>
      </c>
      <c r="AI25">
        <v>34848001</v>
      </c>
      <c r="AJ25">
        <v>24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ROW(Source!A33)</f>
        <v>33</v>
      </c>
      <c r="B26">
        <v>34847997</v>
      </c>
      <c r="C26">
        <v>34847996</v>
      </c>
      <c r="D26">
        <v>24225731</v>
      </c>
      <c r="E26">
        <v>1</v>
      </c>
      <c r="F26">
        <v>1</v>
      </c>
      <c r="G26">
        <v>1</v>
      </c>
      <c r="H26">
        <v>1</v>
      </c>
      <c r="I26" t="s">
        <v>287</v>
      </c>
      <c r="J26" t="s">
        <v>3</v>
      </c>
      <c r="K26" t="s">
        <v>288</v>
      </c>
      <c r="L26">
        <v>1476</v>
      </c>
      <c r="N26">
        <v>1013</v>
      </c>
      <c r="O26" t="s">
        <v>263</v>
      </c>
      <c r="P26" t="s">
        <v>264</v>
      </c>
      <c r="Q26">
        <v>1</v>
      </c>
      <c r="X26">
        <v>0.72</v>
      </c>
      <c r="Y26">
        <v>0</v>
      </c>
      <c r="Z26">
        <v>0</v>
      </c>
      <c r="AA26">
        <v>0</v>
      </c>
      <c r="AB26">
        <v>9.02</v>
      </c>
      <c r="AC26">
        <v>0</v>
      </c>
      <c r="AD26">
        <v>1</v>
      </c>
      <c r="AE26">
        <v>1</v>
      </c>
      <c r="AF26" t="s">
        <v>3</v>
      </c>
      <c r="AG26">
        <v>0.72</v>
      </c>
      <c r="AH26">
        <v>2</v>
      </c>
      <c r="AI26">
        <v>34847997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ROW(Source!A33)</f>
        <v>33</v>
      </c>
      <c r="B27">
        <v>34847998</v>
      </c>
      <c r="C27">
        <v>34847996</v>
      </c>
      <c r="D27">
        <v>121548</v>
      </c>
      <c r="E27">
        <v>1</v>
      </c>
      <c r="F27">
        <v>1</v>
      </c>
      <c r="G27">
        <v>1</v>
      </c>
      <c r="H27">
        <v>1</v>
      </c>
      <c r="I27" t="s">
        <v>23</v>
      </c>
      <c r="J27" t="s">
        <v>3</v>
      </c>
      <c r="K27" t="s">
        <v>265</v>
      </c>
      <c r="L27">
        <v>608254</v>
      </c>
      <c r="N27">
        <v>1013</v>
      </c>
      <c r="O27" t="s">
        <v>266</v>
      </c>
      <c r="P27" t="s">
        <v>266</v>
      </c>
      <c r="Q27">
        <v>1</v>
      </c>
      <c r="X27">
        <v>0.7</v>
      </c>
      <c r="Y27">
        <v>0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2</v>
      </c>
      <c r="AF27" t="s">
        <v>3</v>
      </c>
      <c r="AG27">
        <v>0.7</v>
      </c>
      <c r="AH27">
        <v>2</v>
      </c>
      <c r="AI27">
        <v>34847998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ROW(Source!A33)</f>
        <v>33</v>
      </c>
      <c r="B28">
        <v>34847999</v>
      </c>
      <c r="C28">
        <v>34847996</v>
      </c>
      <c r="D28">
        <v>26554486</v>
      </c>
      <c r="E28">
        <v>1</v>
      </c>
      <c r="F28">
        <v>1</v>
      </c>
      <c r="G28">
        <v>1</v>
      </c>
      <c r="H28">
        <v>2</v>
      </c>
      <c r="I28" t="s">
        <v>289</v>
      </c>
      <c r="J28" t="s">
        <v>290</v>
      </c>
      <c r="K28" t="s">
        <v>291</v>
      </c>
      <c r="L28">
        <v>26553684</v>
      </c>
      <c r="N28">
        <v>1013</v>
      </c>
      <c r="O28" t="s">
        <v>270</v>
      </c>
      <c r="P28" t="s">
        <v>270</v>
      </c>
      <c r="Q28">
        <v>1</v>
      </c>
      <c r="X28">
        <v>0.7</v>
      </c>
      <c r="Y28">
        <v>0</v>
      </c>
      <c r="Z28">
        <v>110</v>
      </c>
      <c r="AA28">
        <v>11.38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0.7</v>
      </c>
      <c r="AH28">
        <v>2</v>
      </c>
      <c r="AI28">
        <v>34847999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ROW(Source!A33)</f>
        <v>33</v>
      </c>
      <c r="B29">
        <v>34848000</v>
      </c>
      <c r="C29">
        <v>34847996</v>
      </c>
      <c r="D29">
        <v>26574342</v>
      </c>
      <c r="E29">
        <v>1</v>
      </c>
      <c r="F29">
        <v>1</v>
      </c>
      <c r="G29">
        <v>1</v>
      </c>
      <c r="H29">
        <v>3</v>
      </c>
      <c r="I29" t="s">
        <v>355</v>
      </c>
      <c r="J29" t="s">
        <v>55</v>
      </c>
      <c r="K29" t="s">
        <v>356</v>
      </c>
      <c r="L29">
        <v>1346</v>
      </c>
      <c r="N29">
        <v>1009</v>
      </c>
      <c r="O29" t="s">
        <v>129</v>
      </c>
      <c r="P29" t="s">
        <v>129</v>
      </c>
      <c r="Q29">
        <v>1</v>
      </c>
      <c r="X29">
        <v>0</v>
      </c>
      <c r="Y29">
        <v>0</v>
      </c>
      <c r="Z29">
        <v>0</v>
      </c>
      <c r="AA29">
        <v>0</v>
      </c>
      <c r="AB29">
        <v>0</v>
      </c>
      <c r="AC29">
        <v>1</v>
      </c>
      <c r="AD29">
        <v>0</v>
      </c>
      <c r="AE29">
        <v>0</v>
      </c>
      <c r="AF29" t="s">
        <v>3</v>
      </c>
      <c r="AG29">
        <v>0</v>
      </c>
      <c r="AH29">
        <v>3</v>
      </c>
      <c r="AI29">
        <v>-1</v>
      </c>
      <c r="AJ29" t="s">
        <v>3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ROW(Source!A33)</f>
        <v>33</v>
      </c>
      <c r="B30">
        <v>34848001</v>
      </c>
      <c r="C30">
        <v>34847996</v>
      </c>
      <c r="D30">
        <v>26608102</v>
      </c>
      <c r="E30">
        <v>1</v>
      </c>
      <c r="F30">
        <v>1</v>
      </c>
      <c r="G30">
        <v>1</v>
      </c>
      <c r="H30">
        <v>3</v>
      </c>
      <c r="I30" t="s">
        <v>292</v>
      </c>
      <c r="J30" t="s">
        <v>293</v>
      </c>
      <c r="K30" t="s">
        <v>294</v>
      </c>
      <c r="L30">
        <v>1339</v>
      </c>
      <c r="N30">
        <v>1007</v>
      </c>
      <c r="O30" t="s">
        <v>69</v>
      </c>
      <c r="P30" t="s">
        <v>69</v>
      </c>
      <c r="Q30">
        <v>1</v>
      </c>
      <c r="X30">
        <v>0.3</v>
      </c>
      <c r="Y30">
        <v>2.2599999999999998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0.3</v>
      </c>
      <c r="AH30">
        <v>2</v>
      </c>
      <c r="AI30">
        <v>34848001</v>
      </c>
      <c r="AJ30">
        <v>29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ROW(Source!A36)</f>
        <v>36</v>
      </c>
      <c r="B31">
        <v>34848017</v>
      </c>
      <c r="C31">
        <v>34848006</v>
      </c>
      <c r="D31">
        <v>24233700</v>
      </c>
      <c r="E31">
        <v>1</v>
      </c>
      <c r="F31">
        <v>1</v>
      </c>
      <c r="G31">
        <v>1</v>
      </c>
      <c r="H31">
        <v>1</v>
      </c>
      <c r="I31" t="s">
        <v>295</v>
      </c>
      <c r="J31" t="s">
        <v>3</v>
      </c>
      <c r="K31" t="s">
        <v>296</v>
      </c>
      <c r="L31">
        <v>1476</v>
      </c>
      <c r="N31">
        <v>1013</v>
      </c>
      <c r="O31" t="s">
        <v>263</v>
      </c>
      <c r="P31" t="s">
        <v>264</v>
      </c>
      <c r="Q31">
        <v>1</v>
      </c>
      <c r="X31">
        <v>15.72</v>
      </c>
      <c r="Y31">
        <v>0</v>
      </c>
      <c r="Z31">
        <v>0</v>
      </c>
      <c r="AA31">
        <v>0</v>
      </c>
      <c r="AB31">
        <v>6.52</v>
      </c>
      <c r="AC31">
        <v>0</v>
      </c>
      <c r="AD31">
        <v>1</v>
      </c>
      <c r="AE31">
        <v>1</v>
      </c>
      <c r="AF31" t="s">
        <v>63</v>
      </c>
      <c r="AG31">
        <v>18.077999999999999</v>
      </c>
      <c r="AH31">
        <v>2</v>
      </c>
      <c r="AI31">
        <v>34848017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ROW(Source!A36)</f>
        <v>36</v>
      </c>
      <c r="B32">
        <v>34848018</v>
      </c>
      <c r="C32">
        <v>34848006</v>
      </c>
      <c r="D32">
        <v>121548</v>
      </c>
      <c r="E32">
        <v>1</v>
      </c>
      <c r="F32">
        <v>1</v>
      </c>
      <c r="G32">
        <v>1</v>
      </c>
      <c r="H32">
        <v>1</v>
      </c>
      <c r="I32" t="s">
        <v>23</v>
      </c>
      <c r="J32" t="s">
        <v>3</v>
      </c>
      <c r="K32" t="s">
        <v>265</v>
      </c>
      <c r="L32">
        <v>608254</v>
      </c>
      <c r="N32">
        <v>1013</v>
      </c>
      <c r="O32" t="s">
        <v>266</v>
      </c>
      <c r="P32" t="s">
        <v>266</v>
      </c>
      <c r="Q32">
        <v>1</v>
      </c>
      <c r="X32">
        <v>13.88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2</v>
      </c>
      <c r="AF32" t="s">
        <v>62</v>
      </c>
      <c r="AG32">
        <v>17.350000000000001</v>
      </c>
      <c r="AH32">
        <v>2</v>
      </c>
      <c r="AI32">
        <v>34848018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ROW(Source!A36)</f>
        <v>36</v>
      </c>
      <c r="B33">
        <v>34848019</v>
      </c>
      <c r="C33">
        <v>34848006</v>
      </c>
      <c r="D33">
        <v>26553886</v>
      </c>
      <c r="E33">
        <v>1</v>
      </c>
      <c r="F33">
        <v>1</v>
      </c>
      <c r="G33">
        <v>1</v>
      </c>
      <c r="H33">
        <v>2</v>
      </c>
      <c r="I33" t="s">
        <v>297</v>
      </c>
      <c r="J33" t="s">
        <v>298</v>
      </c>
      <c r="K33" t="s">
        <v>299</v>
      </c>
      <c r="L33">
        <v>26553684</v>
      </c>
      <c r="N33">
        <v>1013</v>
      </c>
      <c r="O33" t="s">
        <v>270</v>
      </c>
      <c r="P33" t="s">
        <v>270</v>
      </c>
      <c r="Q33">
        <v>1</v>
      </c>
      <c r="X33">
        <v>4.29</v>
      </c>
      <c r="Y33">
        <v>0</v>
      </c>
      <c r="Z33">
        <v>89.81</v>
      </c>
      <c r="AA33">
        <v>9.8800000000000008</v>
      </c>
      <c r="AB33">
        <v>0</v>
      </c>
      <c r="AC33">
        <v>0</v>
      </c>
      <c r="AD33">
        <v>1</v>
      </c>
      <c r="AE33">
        <v>0</v>
      </c>
      <c r="AF33" t="s">
        <v>62</v>
      </c>
      <c r="AG33">
        <v>5.3624999999999998</v>
      </c>
      <c r="AH33">
        <v>2</v>
      </c>
      <c r="AI33">
        <v>34848019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ROW(Source!A36)</f>
        <v>36</v>
      </c>
      <c r="B34">
        <v>34848020</v>
      </c>
      <c r="C34">
        <v>34848006</v>
      </c>
      <c r="D34">
        <v>26554394</v>
      </c>
      <c r="E34">
        <v>1</v>
      </c>
      <c r="F34">
        <v>1</v>
      </c>
      <c r="G34">
        <v>1</v>
      </c>
      <c r="H34">
        <v>2</v>
      </c>
      <c r="I34" t="s">
        <v>300</v>
      </c>
      <c r="J34" t="s">
        <v>301</v>
      </c>
      <c r="K34" t="s">
        <v>302</v>
      </c>
      <c r="L34">
        <v>26553684</v>
      </c>
      <c r="N34">
        <v>1013</v>
      </c>
      <c r="O34" t="s">
        <v>270</v>
      </c>
      <c r="P34" t="s">
        <v>270</v>
      </c>
      <c r="Q34">
        <v>1</v>
      </c>
      <c r="X34">
        <v>1.77</v>
      </c>
      <c r="Y34">
        <v>0</v>
      </c>
      <c r="Z34">
        <v>122.76</v>
      </c>
      <c r="AA34">
        <v>13.26</v>
      </c>
      <c r="AB34">
        <v>0</v>
      </c>
      <c r="AC34">
        <v>0</v>
      </c>
      <c r="AD34">
        <v>1</v>
      </c>
      <c r="AE34">
        <v>0</v>
      </c>
      <c r="AF34" t="s">
        <v>62</v>
      </c>
      <c r="AG34">
        <v>2.2124999999999999</v>
      </c>
      <c r="AH34">
        <v>2</v>
      </c>
      <c r="AI34">
        <v>34848020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ROW(Source!A36)</f>
        <v>36</v>
      </c>
      <c r="B35">
        <v>34848021</v>
      </c>
      <c r="C35">
        <v>34848006</v>
      </c>
      <c r="D35">
        <v>26554425</v>
      </c>
      <c r="E35">
        <v>1</v>
      </c>
      <c r="F35">
        <v>1</v>
      </c>
      <c r="G35">
        <v>1</v>
      </c>
      <c r="H35">
        <v>2</v>
      </c>
      <c r="I35" t="s">
        <v>303</v>
      </c>
      <c r="J35" t="s">
        <v>304</v>
      </c>
      <c r="K35" t="s">
        <v>305</v>
      </c>
      <c r="L35">
        <v>26553684</v>
      </c>
      <c r="N35">
        <v>1013</v>
      </c>
      <c r="O35" t="s">
        <v>270</v>
      </c>
      <c r="P35" t="s">
        <v>270</v>
      </c>
      <c r="Q35">
        <v>1</v>
      </c>
      <c r="X35">
        <v>7.08</v>
      </c>
      <c r="Y35">
        <v>0</v>
      </c>
      <c r="Z35">
        <v>205.75</v>
      </c>
      <c r="AA35">
        <v>14.14</v>
      </c>
      <c r="AB35">
        <v>0</v>
      </c>
      <c r="AC35">
        <v>0</v>
      </c>
      <c r="AD35">
        <v>1</v>
      </c>
      <c r="AE35">
        <v>0</v>
      </c>
      <c r="AF35" t="s">
        <v>62</v>
      </c>
      <c r="AG35">
        <v>8.85</v>
      </c>
      <c r="AH35">
        <v>2</v>
      </c>
      <c r="AI35">
        <v>34848021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ROW(Source!A36)</f>
        <v>36</v>
      </c>
      <c r="B36">
        <v>34848022</v>
      </c>
      <c r="C36">
        <v>34848006</v>
      </c>
      <c r="D36">
        <v>26554486</v>
      </c>
      <c r="E36">
        <v>1</v>
      </c>
      <c r="F36">
        <v>1</v>
      </c>
      <c r="G36">
        <v>1</v>
      </c>
      <c r="H36">
        <v>2</v>
      </c>
      <c r="I36" t="s">
        <v>289</v>
      </c>
      <c r="J36" t="s">
        <v>290</v>
      </c>
      <c r="K36" t="s">
        <v>291</v>
      </c>
      <c r="L36">
        <v>26553684</v>
      </c>
      <c r="N36">
        <v>1013</v>
      </c>
      <c r="O36" t="s">
        <v>270</v>
      </c>
      <c r="P36" t="s">
        <v>270</v>
      </c>
      <c r="Q36">
        <v>1</v>
      </c>
      <c r="X36">
        <v>0.74</v>
      </c>
      <c r="Y36">
        <v>0</v>
      </c>
      <c r="Z36">
        <v>110</v>
      </c>
      <c r="AA36">
        <v>11.38</v>
      </c>
      <c r="AB36">
        <v>0</v>
      </c>
      <c r="AC36">
        <v>0</v>
      </c>
      <c r="AD36">
        <v>1</v>
      </c>
      <c r="AE36">
        <v>0</v>
      </c>
      <c r="AF36" t="s">
        <v>62</v>
      </c>
      <c r="AG36">
        <v>0.92500000000000004</v>
      </c>
      <c r="AH36">
        <v>2</v>
      </c>
      <c r="AI36">
        <v>34848022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ROW(Source!A36)</f>
        <v>36</v>
      </c>
      <c r="B37">
        <v>34848023</v>
      </c>
      <c r="C37">
        <v>34848006</v>
      </c>
      <c r="D37">
        <v>26607888</v>
      </c>
      <c r="E37">
        <v>1</v>
      </c>
      <c r="F37">
        <v>1</v>
      </c>
      <c r="G37">
        <v>1</v>
      </c>
      <c r="H37">
        <v>3</v>
      </c>
      <c r="I37" t="s">
        <v>357</v>
      </c>
      <c r="J37" t="s">
        <v>358</v>
      </c>
      <c r="K37" t="s">
        <v>359</v>
      </c>
      <c r="L37">
        <v>1339</v>
      </c>
      <c r="N37">
        <v>1007</v>
      </c>
      <c r="O37" t="s">
        <v>69</v>
      </c>
      <c r="P37" t="s">
        <v>69</v>
      </c>
      <c r="Q37">
        <v>1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0</v>
      </c>
      <c r="AE37">
        <v>0</v>
      </c>
      <c r="AF37" t="s">
        <v>3</v>
      </c>
      <c r="AG37">
        <v>0</v>
      </c>
      <c r="AH37">
        <v>3</v>
      </c>
      <c r="AI37">
        <v>-1</v>
      </c>
      <c r="AJ37" t="s">
        <v>3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ROW(Source!A36)</f>
        <v>36</v>
      </c>
      <c r="B38">
        <v>34848024</v>
      </c>
      <c r="C38">
        <v>34848006</v>
      </c>
      <c r="D38">
        <v>26608102</v>
      </c>
      <c r="E38">
        <v>1</v>
      </c>
      <c r="F38">
        <v>1</v>
      </c>
      <c r="G38">
        <v>1</v>
      </c>
      <c r="H38">
        <v>3</v>
      </c>
      <c r="I38" t="s">
        <v>292</v>
      </c>
      <c r="J38" t="s">
        <v>293</v>
      </c>
      <c r="K38" t="s">
        <v>294</v>
      </c>
      <c r="L38">
        <v>1339</v>
      </c>
      <c r="N38">
        <v>1007</v>
      </c>
      <c r="O38" t="s">
        <v>69</v>
      </c>
      <c r="P38" t="s">
        <v>69</v>
      </c>
      <c r="Q38">
        <v>1</v>
      </c>
      <c r="X38">
        <v>5</v>
      </c>
      <c r="Y38">
        <v>2.2599999999999998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5</v>
      </c>
      <c r="AH38">
        <v>2</v>
      </c>
      <c r="AI38">
        <v>34848024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ROW(Source!A37)</f>
        <v>37</v>
      </c>
      <c r="B39">
        <v>34848017</v>
      </c>
      <c r="C39">
        <v>34848006</v>
      </c>
      <c r="D39">
        <v>24233700</v>
      </c>
      <c r="E39">
        <v>1</v>
      </c>
      <c r="F39">
        <v>1</v>
      </c>
      <c r="G39">
        <v>1</v>
      </c>
      <c r="H39">
        <v>1</v>
      </c>
      <c r="I39" t="s">
        <v>295</v>
      </c>
      <c r="J39" t="s">
        <v>3</v>
      </c>
      <c r="K39" t="s">
        <v>296</v>
      </c>
      <c r="L39">
        <v>1476</v>
      </c>
      <c r="N39">
        <v>1013</v>
      </c>
      <c r="O39" t="s">
        <v>263</v>
      </c>
      <c r="P39" t="s">
        <v>264</v>
      </c>
      <c r="Q39">
        <v>1</v>
      </c>
      <c r="X39">
        <v>15.72</v>
      </c>
      <c r="Y39">
        <v>0</v>
      </c>
      <c r="Z39">
        <v>0</v>
      </c>
      <c r="AA39">
        <v>0</v>
      </c>
      <c r="AB39">
        <v>6.52</v>
      </c>
      <c r="AC39">
        <v>0</v>
      </c>
      <c r="AD39">
        <v>1</v>
      </c>
      <c r="AE39">
        <v>1</v>
      </c>
      <c r="AF39" t="s">
        <v>63</v>
      </c>
      <c r="AG39">
        <v>18.077999999999999</v>
      </c>
      <c r="AH39">
        <v>2</v>
      </c>
      <c r="AI39">
        <v>34848017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ROW(Source!A37)</f>
        <v>37</v>
      </c>
      <c r="B40">
        <v>34848018</v>
      </c>
      <c r="C40">
        <v>34848006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23</v>
      </c>
      <c r="J40" t="s">
        <v>3</v>
      </c>
      <c r="K40" t="s">
        <v>265</v>
      </c>
      <c r="L40">
        <v>608254</v>
      </c>
      <c r="N40">
        <v>1013</v>
      </c>
      <c r="O40" t="s">
        <v>266</v>
      </c>
      <c r="P40" t="s">
        <v>266</v>
      </c>
      <c r="Q40">
        <v>1</v>
      </c>
      <c r="X40">
        <v>13.88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62</v>
      </c>
      <c r="AG40">
        <v>17.350000000000001</v>
      </c>
      <c r="AH40">
        <v>2</v>
      </c>
      <c r="AI40">
        <v>34848018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ROW(Source!A37)</f>
        <v>37</v>
      </c>
      <c r="B41">
        <v>34848019</v>
      </c>
      <c r="C41">
        <v>34848006</v>
      </c>
      <c r="D41">
        <v>26553886</v>
      </c>
      <c r="E41">
        <v>1</v>
      </c>
      <c r="F41">
        <v>1</v>
      </c>
      <c r="G41">
        <v>1</v>
      </c>
      <c r="H41">
        <v>2</v>
      </c>
      <c r="I41" t="s">
        <v>297</v>
      </c>
      <c r="J41" t="s">
        <v>298</v>
      </c>
      <c r="K41" t="s">
        <v>299</v>
      </c>
      <c r="L41">
        <v>26553684</v>
      </c>
      <c r="N41">
        <v>1013</v>
      </c>
      <c r="O41" t="s">
        <v>270</v>
      </c>
      <c r="P41" t="s">
        <v>270</v>
      </c>
      <c r="Q41">
        <v>1</v>
      </c>
      <c r="X41">
        <v>4.29</v>
      </c>
      <c r="Y41">
        <v>0</v>
      </c>
      <c r="Z41">
        <v>89.81</v>
      </c>
      <c r="AA41">
        <v>9.8800000000000008</v>
      </c>
      <c r="AB41">
        <v>0</v>
      </c>
      <c r="AC41">
        <v>0</v>
      </c>
      <c r="AD41">
        <v>1</v>
      </c>
      <c r="AE41">
        <v>0</v>
      </c>
      <c r="AF41" t="s">
        <v>62</v>
      </c>
      <c r="AG41">
        <v>5.3624999999999998</v>
      </c>
      <c r="AH41">
        <v>2</v>
      </c>
      <c r="AI41">
        <v>34848019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ROW(Source!A37)</f>
        <v>37</v>
      </c>
      <c r="B42">
        <v>34848020</v>
      </c>
      <c r="C42">
        <v>34848006</v>
      </c>
      <c r="D42">
        <v>26554394</v>
      </c>
      <c r="E42">
        <v>1</v>
      </c>
      <c r="F42">
        <v>1</v>
      </c>
      <c r="G42">
        <v>1</v>
      </c>
      <c r="H42">
        <v>2</v>
      </c>
      <c r="I42" t="s">
        <v>300</v>
      </c>
      <c r="J42" t="s">
        <v>301</v>
      </c>
      <c r="K42" t="s">
        <v>302</v>
      </c>
      <c r="L42">
        <v>26553684</v>
      </c>
      <c r="N42">
        <v>1013</v>
      </c>
      <c r="O42" t="s">
        <v>270</v>
      </c>
      <c r="P42" t="s">
        <v>270</v>
      </c>
      <c r="Q42">
        <v>1</v>
      </c>
      <c r="X42">
        <v>1.77</v>
      </c>
      <c r="Y42">
        <v>0</v>
      </c>
      <c r="Z42">
        <v>122.76</v>
      </c>
      <c r="AA42">
        <v>13.26</v>
      </c>
      <c r="AB42">
        <v>0</v>
      </c>
      <c r="AC42">
        <v>0</v>
      </c>
      <c r="AD42">
        <v>1</v>
      </c>
      <c r="AE42">
        <v>0</v>
      </c>
      <c r="AF42" t="s">
        <v>62</v>
      </c>
      <c r="AG42">
        <v>2.2124999999999999</v>
      </c>
      <c r="AH42">
        <v>2</v>
      </c>
      <c r="AI42">
        <v>34848020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ROW(Source!A37)</f>
        <v>37</v>
      </c>
      <c r="B43">
        <v>34848021</v>
      </c>
      <c r="C43">
        <v>34848006</v>
      </c>
      <c r="D43">
        <v>26554425</v>
      </c>
      <c r="E43">
        <v>1</v>
      </c>
      <c r="F43">
        <v>1</v>
      </c>
      <c r="G43">
        <v>1</v>
      </c>
      <c r="H43">
        <v>2</v>
      </c>
      <c r="I43" t="s">
        <v>303</v>
      </c>
      <c r="J43" t="s">
        <v>304</v>
      </c>
      <c r="K43" t="s">
        <v>305</v>
      </c>
      <c r="L43">
        <v>26553684</v>
      </c>
      <c r="N43">
        <v>1013</v>
      </c>
      <c r="O43" t="s">
        <v>270</v>
      </c>
      <c r="P43" t="s">
        <v>270</v>
      </c>
      <c r="Q43">
        <v>1</v>
      </c>
      <c r="X43">
        <v>7.08</v>
      </c>
      <c r="Y43">
        <v>0</v>
      </c>
      <c r="Z43">
        <v>205.75</v>
      </c>
      <c r="AA43">
        <v>14.14</v>
      </c>
      <c r="AB43">
        <v>0</v>
      </c>
      <c r="AC43">
        <v>0</v>
      </c>
      <c r="AD43">
        <v>1</v>
      </c>
      <c r="AE43">
        <v>0</v>
      </c>
      <c r="AF43" t="s">
        <v>62</v>
      </c>
      <c r="AG43">
        <v>8.85</v>
      </c>
      <c r="AH43">
        <v>2</v>
      </c>
      <c r="AI43">
        <v>34848021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ROW(Source!A37)</f>
        <v>37</v>
      </c>
      <c r="B44">
        <v>34848022</v>
      </c>
      <c r="C44">
        <v>34848006</v>
      </c>
      <c r="D44">
        <v>26554486</v>
      </c>
      <c r="E44">
        <v>1</v>
      </c>
      <c r="F44">
        <v>1</v>
      </c>
      <c r="G44">
        <v>1</v>
      </c>
      <c r="H44">
        <v>2</v>
      </c>
      <c r="I44" t="s">
        <v>289</v>
      </c>
      <c r="J44" t="s">
        <v>290</v>
      </c>
      <c r="K44" t="s">
        <v>291</v>
      </c>
      <c r="L44">
        <v>26553684</v>
      </c>
      <c r="N44">
        <v>1013</v>
      </c>
      <c r="O44" t="s">
        <v>270</v>
      </c>
      <c r="P44" t="s">
        <v>270</v>
      </c>
      <c r="Q44">
        <v>1</v>
      </c>
      <c r="X44">
        <v>0.74</v>
      </c>
      <c r="Y44">
        <v>0</v>
      </c>
      <c r="Z44">
        <v>110</v>
      </c>
      <c r="AA44">
        <v>11.38</v>
      </c>
      <c r="AB44">
        <v>0</v>
      </c>
      <c r="AC44">
        <v>0</v>
      </c>
      <c r="AD44">
        <v>1</v>
      </c>
      <c r="AE44">
        <v>0</v>
      </c>
      <c r="AF44" t="s">
        <v>62</v>
      </c>
      <c r="AG44">
        <v>0.92500000000000004</v>
      </c>
      <c r="AH44">
        <v>2</v>
      </c>
      <c r="AI44">
        <v>34848022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ROW(Source!A37)</f>
        <v>37</v>
      </c>
      <c r="B45">
        <v>34848023</v>
      </c>
      <c r="C45">
        <v>34848006</v>
      </c>
      <c r="D45">
        <v>26607888</v>
      </c>
      <c r="E45">
        <v>1</v>
      </c>
      <c r="F45">
        <v>1</v>
      </c>
      <c r="G45">
        <v>1</v>
      </c>
      <c r="H45">
        <v>3</v>
      </c>
      <c r="I45" t="s">
        <v>357</v>
      </c>
      <c r="J45" t="s">
        <v>358</v>
      </c>
      <c r="K45" t="s">
        <v>359</v>
      </c>
      <c r="L45">
        <v>1339</v>
      </c>
      <c r="N45">
        <v>1007</v>
      </c>
      <c r="O45" t="s">
        <v>69</v>
      </c>
      <c r="P45" t="s">
        <v>69</v>
      </c>
      <c r="Q45">
        <v>1</v>
      </c>
      <c r="X45">
        <v>0</v>
      </c>
      <c r="Y45">
        <v>0</v>
      </c>
      <c r="Z45">
        <v>0</v>
      </c>
      <c r="AA45">
        <v>0</v>
      </c>
      <c r="AB45">
        <v>0</v>
      </c>
      <c r="AC45">
        <v>1</v>
      </c>
      <c r="AD45">
        <v>0</v>
      </c>
      <c r="AE45">
        <v>0</v>
      </c>
      <c r="AF45" t="s">
        <v>3</v>
      </c>
      <c r="AG45">
        <v>0</v>
      </c>
      <c r="AH45">
        <v>3</v>
      </c>
      <c r="AI45">
        <v>-1</v>
      </c>
      <c r="AJ45" t="s">
        <v>3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ROW(Source!A37)</f>
        <v>37</v>
      </c>
      <c r="B46">
        <v>34848024</v>
      </c>
      <c r="C46">
        <v>34848006</v>
      </c>
      <c r="D46">
        <v>26608102</v>
      </c>
      <c r="E46">
        <v>1</v>
      </c>
      <c r="F46">
        <v>1</v>
      </c>
      <c r="G46">
        <v>1</v>
      </c>
      <c r="H46">
        <v>3</v>
      </c>
      <c r="I46" t="s">
        <v>292</v>
      </c>
      <c r="J46" t="s">
        <v>293</v>
      </c>
      <c r="K46" t="s">
        <v>294</v>
      </c>
      <c r="L46">
        <v>1339</v>
      </c>
      <c r="N46">
        <v>1007</v>
      </c>
      <c r="O46" t="s">
        <v>69</v>
      </c>
      <c r="P46" t="s">
        <v>69</v>
      </c>
      <c r="Q46">
        <v>1</v>
      </c>
      <c r="X46">
        <v>5</v>
      </c>
      <c r="Y46">
        <v>2.2599999999999998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5</v>
      </c>
      <c r="AH46">
        <v>2</v>
      </c>
      <c r="AI46">
        <v>34848024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ROW(Source!A40)</f>
        <v>40</v>
      </c>
      <c r="B47">
        <v>34848027</v>
      </c>
      <c r="C47">
        <v>34848026</v>
      </c>
      <c r="D47">
        <v>24233887</v>
      </c>
      <c r="E47">
        <v>1</v>
      </c>
      <c r="F47">
        <v>1</v>
      </c>
      <c r="G47">
        <v>1</v>
      </c>
      <c r="H47">
        <v>1</v>
      </c>
      <c r="I47" t="s">
        <v>306</v>
      </c>
      <c r="J47" t="s">
        <v>3</v>
      </c>
      <c r="K47" t="s">
        <v>307</v>
      </c>
      <c r="L47">
        <v>1476</v>
      </c>
      <c r="N47">
        <v>1013</v>
      </c>
      <c r="O47" t="s">
        <v>263</v>
      </c>
      <c r="P47" t="s">
        <v>264</v>
      </c>
      <c r="Q47">
        <v>1</v>
      </c>
      <c r="X47">
        <v>24.19</v>
      </c>
      <c r="Y47">
        <v>0</v>
      </c>
      <c r="Z47">
        <v>0</v>
      </c>
      <c r="AA47">
        <v>0</v>
      </c>
      <c r="AB47">
        <v>6.58</v>
      </c>
      <c r="AC47">
        <v>0</v>
      </c>
      <c r="AD47">
        <v>1</v>
      </c>
      <c r="AE47">
        <v>1</v>
      </c>
      <c r="AF47" t="s">
        <v>63</v>
      </c>
      <c r="AG47">
        <v>27.8185</v>
      </c>
      <c r="AH47">
        <v>2</v>
      </c>
      <c r="AI47">
        <v>34848027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ROW(Source!A40)</f>
        <v>40</v>
      </c>
      <c r="B48">
        <v>34848028</v>
      </c>
      <c r="C48">
        <v>34848026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23</v>
      </c>
      <c r="J48" t="s">
        <v>3</v>
      </c>
      <c r="K48" t="s">
        <v>265</v>
      </c>
      <c r="L48">
        <v>608254</v>
      </c>
      <c r="N48">
        <v>1013</v>
      </c>
      <c r="O48" t="s">
        <v>266</v>
      </c>
      <c r="P48" t="s">
        <v>266</v>
      </c>
      <c r="Q48">
        <v>1</v>
      </c>
      <c r="X48">
        <v>20.6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2</v>
      </c>
      <c r="AF48" t="s">
        <v>62</v>
      </c>
      <c r="AG48">
        <v>25.75</v>
      </c>
      <c r="AH48">
        <v>2</v>
      </c>
      <c r="AI48">
        <v>34848028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ROW(Source!A40)</f>
        <v>40</v>
      </c>
      <c r="B49">
        <v>34848029</v>
      </c>
      <c r="C49">
        <v>34848026</v>
      </c>
      <c r="D49">
        <v>26553886</v>
      </c>
      <c r="E49">
        <v>1</v>
      </c>
      <c r="F49">
        <v>1</v>
      </c>
      <c r="G49">
        <v>1</v>
      </c>
      <c r="H49">
        <v>2</v>
      </c>
      <c r="I49" t="s">
        <v>297</v>
      </c>
      <c r="J49" t="s">
        <v>298</v>
      </c>
      <c r="K49" t="s">
        <v>299</v>
      </c>
      <c r="L49">
        <v>26553684</v>
      </c>
      <c r="N49">
        <v>1013</v>
      </c>
      <c r="O49" t="s">
        <v>270</v>
      </c>
      <c r="P49" t="s">
        <v>270</v>
      </c>
      <c r="Q49">
        <v>1</v>
      </c>
      <c r="X49">
        <v>2.46</v>
      </c>
      <c r="Y49">
        <v>0</v>
      </c>
      <c r="Z49">
        <v>89.81</v>
      </c>
      <c r="AA49">
        <v>9.8800000000000008</v>
      </c>
      <c r="AB49">
        <v>0</v>
      </c>
      <c r="AC49">
        <v>0</v>
      </c>
      <c r="AD49">
        <v>1</v>
      </c>
      <c r="AE49">
        <v>0</v>
      </c>
      <c r="AF49" t="s">
        <v>62</v>
      </c>
      <c r="AG49">
        <v>3.0750000000000002</v>
      </c>
      <c r="AH49">
        <v>2</v>
      </c>
      <c r="AI49">
        <v>34848029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ROW(Source!A40)</f>
        <v>40</v>
      </c>
      <c r="B50">
        <v>34848030</v>
      </c>
      <c r="C50">
        <v>34848026</v>
      </c>
      <c r="D50">
        <v>26554179</v>
      </c>
      <c r="E50">
        <v>1</v>
      </c>
      <c r="F50">
        <v>1</v>
      </c>
      <c r="G50">
        <v>1</v>
      </c>
      <c r="H50">
        <v>2</v>
      </c>
      <c r="I50" t="s">
        <v>308</v>
      </c>
      <c r="J50" t="s">
        <v>309</v>
      </c>
      <c r="K50" t="s">
        <v>310</v>
      </c>
      <c r="L50">
        <v>26553684</v>
      </c>
      <c r="N50">
        <v>1013</v>
      </c>
      <c r="O50" t="s">
        <v>270</v>
      </c>
      <c r="P50" t="s">
        <v>270</v>
      </c>
      <c r="Q50">
        <v>1</v>
      </c>
      <c r="X50">
        <v>2.59</v>
      </c>
      <c r="Y50">
        <v>0</v>
      </c>
      <c r="Z50">
        <v>79.75</v>
      </c>
      <c r="AA50">
        <v>13.26</v>
      </c>
      <c r="AB50">
        <v>0</v>
      </c>
      <c r="AC50">
        <v>0</v>
      </c>
      <c r="AD50">
        <v>1</v>
      </c>
      <c r="AE50">
        <v>0</v>
      </c>
      <c r="AF50" t="s">
        <v>62</v>
      </c>
      <c r="AG50">
        <v>3.2374999999999998</v>
      </c>
      <c r="AH50">
        <v>2</v>
      </c>
      <c r="AI50">
        <v>34848030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ROW(Source!A40)</f>
        <v>40</v>
      </c>
      <c r="B51">
        <v>34848031</v>
      </c>
      <c r="C51">
        <v>34848026</v>
      </c>
      <c r="D51">
        <v>26554394</v>
      </c>
      <c r="E51">
        <v>1</v>
      </c>
      <c r="F51">
        <v>1</v>
      </c>
      <c r="G51">
        <v>1</v>
      </c>
      <c r="H51">
        <v>2</v>
      </c>
      <c r="I51" t="s">
        <v>300</v>
      </c>
      <c r="J51" t="s">
        <v>301</v>
      </c>
      <c r="K51" t="s">
        <v>302</v>
      </c>
      <c r="L51">
        <v>26553684</v>
      </c>
      <c r="N51">
        <v>1013</v>
      </c>
      <c r="O51" t="s">
        <v>270</v>
      </c>
      <c r="P51" t="s">
        <v>270</v>
      </c>
      <c r="Q51">
        <v>1</v>
      </c>
      <c r="X51">
        <v>2.2999999999999998</v>
      </c>
      <c r="Y51">
        <v>0</v>
      </c>
      <c r="Z51">
        <v>122.76</v>
      </c>
      <c r="AA51">
        <v>13.26</v>
      </c>
      <c r="AB51">
        <v>0</v>
      </c>
      <c r="AC51">
        <v>0</v>
      </c>
      <c r="AD51">
        <v>1</v>
      </c>
      <c r="AE51">
        <v>0</v>
      </c>
      <c r="AF51" t="s">
        <v>62</v>
      </c>
      <c r="AG51">
        <v>2.875</v>
      </c>
      <c r="AH51">
        <v>2</v>
      </c>
      <c r="AI51">
        <v>34848031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ROW(Source!A40)</f>
        <v>40</v>
      </c>
      <c r="B52">
        <v>34848032</v>
      </c>
      <c r="C52">
        <v>34848026</v>
      </c>
      <c r="D52">
        <v>26554425</v>
      </c>
      <c r="E52">
        <v>1</v>
      </c>
      <c r="F52">
        <v>1</v>
      </c>
      <c r="G52">
        <v>1</v>
      </c>
      <c r="H52">
        <v>2</v>
      </c>
      <c r="I52" t="s">
        <v>303</v>
      </c>
      <c r="J52" t="s">
        <v>304</v>
      </c>
      <c r="K52" t="s">
        <v>305</v>
      </c>
      <c r="L52">
        <v>26553684</v>
      </c>
      <c r="N52">
        <v>1013</v>
      </c>
      <c r="O52" t="s">
        <v>270</v>
      </c>
      <c r="P52" t="s">
        <v>270</v>
      </c>
      <c r="Q52">
        <v>1</v>
      </c>
      <c r="X52">
        <v>12.21</v>
      </c>
      <c r="Y52">
        <v>0</v>
      </c>
      <c r="Z52">
        <v>205.75</v>
      </c>
      <c r="AA52">
        <v>14.14</v>
      </c>
      <c r="AB52">
        <v>0</v>
      </c>
      <c r="AC52">
        <v>0</v>
      </c>
      <c r="AD52">
        <v>1</v>
      </c>
      <c r="AE52">
        <v>0</v>
      </c>
      <c r="AF52" t="s">
        <v>62</v>
      </c>
      <c r="AG52">
        <v>15.262500000000001</v>
      </c>
      <c r="AH52">
        <v>2</v>
      </c>
      <c r="AI52">
        <v>34848032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ROW(Source!A40)</f>
        <v>40</v>
      </c>
      <c r="B53">
        <v>34848033</v>
      </c>
      <c r="C53">
        <v>34848026</v>
      </c>
      <c r="D53">
        <v>26554486</v>
      </c>
      <c r="E53">
        <v>1</v>
      </c>
      <c r="F53">
        <v>1</v>
      </c>
      <c r="G53">
        <v>1</v>
      </c>
      <c r="H53">
        <v>2</v>
      </c>
      <c r="I53" t="s">
        <v>289</v>
      </c>
      <c r="J53" t="s">
        <v>290</v>
      </c>
      <c r="K53" t="s">
        <v>291</v>
      </c>
      <c r="L53">
        <v>26553684</v>
      </c>
      <c r="N53">
        <v>1013</v>
      </c>
      <c r="O53" t="s">
        <v>270</v>
      </c>
      <c r="P53" t="s">
        <v>270</v>
      </c>
      <c r="Q53">
        <v>1</v>
      </c>
      <c r="X53">
        <v>1.04</v>
      </c>
      <c r="Y53">
        <v>0</v>
      </c>
      <c r="Z53">
        <v>110</v>
      </c>
      <c r="AA53">
        <v>11.38</v>
      </c>
      <c r="AB53">
        <v>0</v>
      </c>
      <c r="AC53">
        <v>0</v>
      </c>
      <c r="AD53">
        <v>1</v>
      </c>
      <c r="AE53">
        <v>0</v>
      </c>
      <c r="AF53" t="s">
        <v>62</v>
      </c>
      <c r="AG53">
        <v>1.3</v>
      </c>
      <c r="AH53">
        <v>2</v>
      </c>
      <c r="AI53">
        <v>34848033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ROW(Source!A40)</f>
        <v>40</v>
      </c>
      <c r="B54">
        <v>34848034</v>
      </c>
      <c r="C54">
        <v>34848026</v>
      </c>
      <c r="D54">
        <v>26607891</v>
      </c>
      <c r="E54">
        <v>1</v>
      </c>
      <c r="F54">
        <v>1</v>
      </c>
      <c r="G54">
        <v>1</v>
      </c>
      <c r="H54">
        <v>3</v>
      </c>
      <c r="I54" t="s">
        <v>360</v>
      </c>
      <c r="J54" t="s">
        <v>361</v>
      </c>
      <c r="K54" t="s">
        <v>362</v>
      </c>
      <c r="L54">
        <v>1339</v>
      </c>
      <c r="N54">
        <v>1007</v>
      </c>
      <c r="O54" t="s">
        <v>69</v>
      </c>
      <c r="P54" t="s">
        <v>69</v>
      </c>
      <c r="Q54">
        <v>1</v>
      </c>
      <c r="X54">
        <v>0</v>
      </c>
      <c r="Y54">
        <v>0</v>
      </c>
      <c r="Z54">
        <v>0</v>
      </c>
      <c r="AA54">
        <v>0</v>
      </c>
      <c r="AB54">
        <v>0</v>
      </c>
      <c r="AC54">
        <v>1</v>
      </c>
      <c r="AD54">
        <v>0</v>
      </c>
      <c r="AE54">
        <v>0</v>
      </c>
      <c r="AF54" t="s">
        <v>3</v>
      </c>
      <c r="AG54">
        <v>0</v>
      </c>
      <c r="AH54">
        <v>3</v>
      </c>
      <c r="AI54">
        <v>-1</v>
      </c>
      <c r="AJ54" t="s">
        <v>3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ROW(Source!A40)</f>
        <v>40</v>
      </c>
      <c r="B55">
        <v>34848035</v>
      </c>
      <c r="C55">
        <v>34848026</v>
      </c>
      <c r="D55">
        <v>26608102</v>
      </c>
      <c r="E55">
        <v>1</v>
      </c>
      <c r="F55">
        <v>1</v>
      </c>
      <c r="G55">
        <v>1</v>
      </c>
      <c r="H55">
        <v>3</v>
      </c>
      <c r="I55" t="s">
        <v>292</v>
      </c>
      <c r="J55" t="s">
        <v>293</v>
      </c>
      <c r="K55" t="s">
        <v>294</v>
      </c>
      <c r="L55">
        <v>1339</v>
      </c>
      <c r="N55">
        <v>1007</v>
      </c>
      <c r="O55" t="s">
        <v>69</v>
      </c>
      <c r="P55" t="s">
        <v>69</v>
      </c>
      <c r="Q55">
        <v>1</v>
      </c>
      <c r="X55">
        <v>7</v>
      </c>
      <c r="Y55">
        <v>2.2599999999999998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7</v>
      </c>
      <c r="AH55">
        <v>2</v>
      </c>
      <c r="AI55">
        <v>34848035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ROW(Source!A41)</f>
        <v>41</v>
      </c>
      <c r="B56">
        <v>34848027</v>
      </c>
      <c r="C56">
        <v>34848026</v>
      </c>
      <c r="D56">
        <v>24233887</v>
      </c>
      <c r="E56">
        <v>1</v>
      </c>
      <c r="F56">
        <v>1</v>
      </c>
      <c r="G56">
        <v>1</v>
      </c>
      <c r="H56">
        <v>1</v>
      </c>
      <c r="I56" t="s">
        <v>306</v>
      </c>
      <c r="J56" t="s">
        <v>3</v>
      </c>
      <c r="K56" t="s">
        <v>307</v>
      </c>
      <c r="L56">
        <v>1476</v>
      </c>
      <c r="N56">
        <v>1013</v>
      </c>
      <c r="O56" t="s">
        <v>263</v>
      </c>
      <c r="P56" t="s">
        <v>264</v>
      </c>
      <c r="Q56">
        <v>1</v>
      </c>
      <c r="X56">
        <v>24.19</v>
      </c>
      <c r="Y56">
        <v>0</v>
      </c>
      <c r="Z56">
        <v>0</v>
      </c>
      <c r="AA56">
        <v>0</v>
      </c>
      <c r="AB56">
        <v>6.58</v>
      </c>
      <c r="AC56">
        <v>0</v>
      </c>
      <c r="AD56">
        <v>1</v>
      </c>
      <c r="AE56">
        <v>1</v>
      </c>
      <c r="AF56" t="s">
        <v>63</v>
      </c>
      <c r="AG56">
        <v>27.8185</v>
      </c>
      <c r="AH56">
        <v>2</v>
      </c>
      <c r="AI56">
        <v>34848027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ROW(Source!A41)</f>
        <v>41</v>
      </c>
      <c r="B57">
        <v>34848028</v>
      </c>
      <c r="C57">
        <v>34848026</v>
      </c>
      <c r="D57">
        <v>121548</v>
      </c>
      <c r="E57">
        <v>1</v>
      </c>
      <c r="F57">
        <v>1</v>
      </c>
      <c r="G57">
        <v>1</v>
      </c>
      <c r="H57">
        <v>1</v>
      </c>
      <c r="I57" t="s">
        <v>23</v>
      </c>
      <c r="J57" t="s">
        <v>3</v>
      </c>
      <c r="K57" t="s">
        <v>265</v>
      </c>
      <c r="L57">
        <v>608254</v>
      </c>
      <c r="N57">
        <v>1013</v>
      </c>
      <c r="O57" t="s">
        <v>266</v>
      </c>
      <c r="P57" t="s">
        <v>266</v>
      </c>
      <c r="Q57">
        <v>1</v>
      </c>
      <c r="X57">
        <v>20.6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2</v>
      </c>
      <c r="AF57" t="s">
        <v>62</v>
      </c>
      <c r="AG57">
        <v>25.75</v>
      </c>
      <c r="AH57">
        <v>2</v>
      </c>
      <c r="AI57">
        <v>34848028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ROW(Source!A41)</f>
        <v>41</v>
      </c>
      <c r="B58">
        <v>34848029</v>
      </c>
      <c r="C58">
        <v>34848026</v>
      </c>
      <c r="D58">
        <v>26553886</v>
      </c>
      <c r="E58">
        <v>1</v>
      </c>
      <c r="F58">
        <v>1</v>
      </c>
      <c r="G58">
        <v>1</v>
      </c>
      <c r="H58">
        <v>2</v>
      </c>
      <c r="I58" t="s">
        <v>297</v>
      </c>
      <c r="J58" t="s">
        <v>298</v>
      </c>
      <c r="K58" t="s">
        <v>299</v>
      </c>
      <c r="L58">
        <v>26553684</v>
      </c>
      <c r="N58">
        <v>1013</v>
      </c>
      <c r="O58" t="s">
        <v>270</v>
      </c>
      <c r="P58" t="s">
        <v>270</v>
      </c>
      <c r="Q58">
        <v>1</v>
      </c>
      <c r="X58">
        <v>2.46</v>
      </c>
      <c r="Y58">
        <v>0</v>
      </c>
      <c r="Z58">
        <v>89.81</v>
      </c>
      <c r="AA58">
        <v>9.8800000000000008</v>
      </c>
      <c r="AB58">
        <v>0</v>
      </c>
      <c r="AC58">
        <v>0</v>
      </c>
      <c r="AD58">
        <v>1</v>
      </c>
      <c r="AE58">
        <v>0</v>
      </c>
      <c r="AF58" t="s">
        <v>62</v>
      </c>
      <c r="AG58">
        <v>3.0750000000000002</v>
      </c>
      <c r="AH58">
        <v>2</v>
      </c>
      <c r="AI58">
        <v>34848029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ROW(Source!A41)</f>
        <v>41</v>
      </c>
      <c r="B59">
        <v>34848030</v>
      </c>
      <c r="C59">
        <v>34848026</v>
      </c>
      <c r="D59">
        <v>26554179</v>
      </c>
      <c r="E59">
        <v>1</v>
      </c>
      <c r="F59">
        <v>1</v>
      </c>
      <c r="G59">
        <v>1</v>
      </c>
      <c r="H59">
        <v>2</v>
      </c>
      <c r="I59" t="s">
        <v>308</v>
      </c>
      <c r="J59" t="s">
        <v>309</v>
      </c>
      <c r="K59" t="s">
        <v>310</v>
      </c>
      <c r="L59">
        <v>26553684</v>
      </c>
      <c r="N59">
        <v>1013</v>
      </c>
      <c r="O59" t="s">
        <v>270</v>
      </c>
      <c r="P59" t="s">
        <v>270</v>
      </c>
      <c r="Q59">
        <v>1</v>
      </c>
      <c r="X59">
        <v>2.59</v>
      </c>
      <c r="Y59">
        <v>0</v>
      </c>
      <c r="Z59">
        <v>79.75</v>
      </c>
      <c r="AA59">
        <v>13.26</v>
      </c>
      <c r="AB59">
        <v>0</v>
      </c>
      <c r="AC59">
        <v>0</v>
      </c>
      <c r="AD59">
        <v>1</v>
      </c>
      <c r="AE59">
        <v>0</v>
      </c>
      <c r="AF59" t="s">
        <v>62</v>
      </c>
      <c r="AG59">
        <v>3.2374999999999998</v>
      </c>
      <c r="AH59">
        <v>2</v>
      </c>
      <c r="AI59">
        <v>34848030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ROW(Source!A41)</f>
        <v>41</v>
      </c>
      <c r="B60">
        <v>34848031</v>
      </c>
      <c r="C60">
        <v>34848026</v>
      </c>
      <c r="D60">
        <v>26554394</v>
      </c>
      <c r="E60">
        <v>1</v>
      </c>
      <c r="F60">
        <v>1</v>
      </c>
      <c r="G60">
        <v>1</v>
      </c>
      <c r="H60">
        <v>2</v>
      </c>
      <c r="I60" t="s">
        <v>300</v>
      </c>
      <c r="J60" t="s">
        <v>301</v>
      </c>
      <c r="K60" t="s">
        <v>302</v>
      </c>
      <c r="L60">
        <v>26553684</v>
      </c>
      <c r="N60">
        <v>1013</v>
      </c>
      <c r="O60" t="s">
        <v>270</v>
      </c>
      <c r="P60" t="s">
        <v>270</v>
      </c>
      <c r="Q60">
        <v>1</v>
      </c>
      <c r="X60">
        <v>2.2999999999999998</v>
      </c>
      <c r="Y60">
        <v>0</v>
      </c>
      <c r="Z60">
        <v>122.76</v>
      </c>
      <c r="AA60">
        <v>13.26</v>
      </c>
      <c r="AB60">
        <v>0</v>
      </c>
      <c r="AC60">
        <v>0</v>
      </c>
      <c r="AD60">
        <v>1</v>
      </c>
      <c r="AE60">
        <v>0</v>
      </c>
      <c r="AF60" t="s">
        <v>62</v>
      </c>
      <c r="AG60">
        <v>2.875</v>
      </c>
      <c r="AH60">
        <v>2</v>
      </c>
      <c r="AI60">
        <v>34848031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ROW(Source!A41)</f>
        <v>41</v>
      </c>
      <c r="B61">
        <v>34848032</v>
      </c>
      <c r="C61">
        <v>34848026</v>
      </c>
      <c r="D61">
        <v>26554425</v>
      </c>
      <c r="E61">
        <v>1</v>
      </c>
      <c r="F61">
        <v>1</v>
      </c>
      <c r="G61">
        <v>1</v>
      </c>
      <c r="H61">
        <v>2</v>
      </c>
      <c r="I61" t="s">
        <v>303</v>
      </c>
      <c r="J61" t="s">
        <v>304</v>
      </c>
      <c r="K61" t="s">
        <v>305</v>
      </c>
      <c r="L61">
        <v>26553684</v>
      </c>
      <c r="N61">
        <v>1013</v>
      </c>
      <c r="O61" t="s">
        <v>270</v>
      </c>
      <c r="P61" t="s">
        <v>270</v>
      </c>
      <c r="Q61">
        <v>1</v>
      </c>
      <c r="X61">
        <v>12.21</v>
      </c>
      <c r="Y61">
        <v>0</v>
      </c>
      <c r="Z61">
        <v>205.75</v>
      </c>
      <c r="AA61">
        <v>14.14</v>
      </c>
      <c r="AB61">
        <v>0</v>
      </c>
      <c r="AC61">
        <v>0</v>
      </c>
      <c r="AD61">
        <v>1</v>
      </c>
      <c r="AE61">
        <v>0</v>
      </c>
      <c r="AF61" t="s">
        <v>62</v>
      </c>
      <c r="AG61">
        <v>15.262500000000001</v>
      </c>
      <c r="AH61">
        <v>2</v>
      </c>
      <c r="AI61">
        <v>34848032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ROW(Source!A41)</f>
        <v>41</v>
      </c>
      <c r="B62">
        <v>34848033</v>
      </c>
      <c r="C62">
        <v>34848026</v>
      </c>
      <c r="D62">
        <v>26554486</v>
      </c>
      <c r="E62">
        <v>1</v>
      </c>
      <c r="F62">
        <v>1</v>
      </c>
      <c r="G62">
        <v>1</v>
      </c>
      <c r="H62">
        <v>2</v>
      </c>
      <c r="I62" t="s">
        <v>289</v>
      </c>
      <c r="J62" t="s">
        <v>290</v>
      </c>
      <c r="K62" t="s">
        <v>291</v>
      </c>
      <c r="L62">
        <v>26553684</v>
      </c>
      <c r="N62">
        <v>1013</v>
      </c>
      <c r="O62" t="s">
        <v>270</v>
      </c>
      <c r="P62" t="s">
        <v>270</v>
      </c>
      <c r="Q62">
        <v>1</v>
      </c>
      <c r="X62">
        <v>1.04</v>
      </c>
      <c r="Y62">
        <v>0</v>
      </c>
      <c r="Z62">
        <v>110</v>
      </c>
      <c r="AA62">
        <v>11.38</v>
      </c>
      <c r="AB62">
        <v>0</v>
      </c>
      <c r="AC62">
        <v>0</v>
      </c>
      <c r="AD62">
        <v>1</v>
      </c>
      <c r="AE62">
        <v>0</v>
      </c>
      <c r="AF62" t="s">
        <v>62</v>
      </c>
      <c r="AG62">
        <v>1.3</v>
      </c>
      <c r="AH62">
        <v>2</v>
      </c>
      <c r="AI62">
        <v>34848033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ROW(Source!A41)</f>
        <v>41</v>
      </c>
      <c r="B63">
        <v>34848034</v>
      </c>
      <c r="C63">
        <v>34848026</v>
      </c>
      <c r="D63">
        <v>26607891</v>
      </c>
      <c r="E63">
        <v>1</v>
      </c>
      <c r="F63">
        <v>1</v>
      </c>
      <c r="G63">
        <v>1</v>
      </c>
      <c r="H63">
        <v>3</v>
      </c>
      <c r="I63" t="s">
        <v>360</v>
      </c>
      <c r="J63" t="s">
        <v>361</v>
      </c>
      <c r="K63" t="s">
        <v>362</v>
      </c>
      <c r="L63">
        <v>1339</v>
      </c>
      <c r="N63">
        <v>1007</v>
      </c>
      <c r="O63" t="s">
        <v>69</v>
      </c>
      <c r="P63" t="s">
        <v>69</v>
      </c>
      <c r="Q63">
        <v>1</v>
      </c>
      <c r="X63">
        <v>0</v>
      </c>
      <c r="Y63">
        <v>0</v>
      </c>
      <c r="Z63">
        <v>0</v>
      </c>
      <c r="AA63">
        <v>0</v>
      </c>
      <c r="AB63">
        <v>0</v>
      </c>
      <c r="AC63">
        <v>1</v>
      </c>
      <c r="AD63">
        <v>0</v>
      </c>
      <c r="AE63">
        <v>0</v>
      </c>
      <c r="AF63" t="s">
        <v>3</v>
      </c>
      <c r="AG63">
        <v>0</v>
      </c>
      <c r="AH63">
        <v>3</v>
      </c>
      <c r="AI63">
        <v>-1</v>
      </c>
      <c r="AJ63" t="s">
        <v>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ROW(Source!A41)</f>
        <v>41</v>
      </c>
      <c r="B64">
        <v>34848035</v>
      </c>
      <c r="C64">
        <v>34848026</v>
      </c>
      <c r="D64">
        <v>26608102</v>
      </c>
      <c r="E64">
        <v>1</v>
      </c>
      <c r="F64">
        <v>1</v>
      </c>
      <c r="G64">
        <v>1</v>
      </c>
      <c r="H64">
        <v>3</v>
      </c>
      <c r="I64" t="s">
        <v>292</v>
      </c>
      <c r="J64" t="s">
        <v>293</v>
      </c>
      <c r="K64" t="s">
        <v>294</v>
      </c>
      <c r="L64">
        <v>1339</v>
      </c>
      <c r="N64">
        <v>1007</v>
      </c>
      <c r="O64" t="s">
        <v>69</v>
      </c>
      <c r="P64" t="s">
        <v>69</v>
      </c>
      <c r="Q64">
        <v>1</v>
      </c>
      <c r="X64">
        <v>7</v>
      </c>
      <c r="Y64">
        <v>2.2599999999999998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7</v>
      </c>
      <c r="AH64">
        <v>2</v>
      </c>
      <c r="AI64">
        <v>34848035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ROW(Source!A44)</f>
        <v>44</v>
      </c>
      <c r="B65">
        <v>34849774</v>
      </c>
      <c r="C65">
        <v>34849773</v>
      </c>
      <c r="D65">
        <v>24225432</v>
      </c>
      <c r="E65">
        <v>1</v>
      </c>
      <c r="F65">
        <v>1</v>
      </c>
      <c r="G65">
        <v>1</v>
      </c>
      <c r="H65">
        <v>1</v>
      </c>
      <c r="I65" t="s">
        <v>311</v>
      </c>
      <c r="J65" t="s">
        <v>3</v>
      </c>
      <c r="K65" t="s">
        <v>312</v>
      </c>
      <c r="L65">
        <v>1476</v>
      </c>
      <c r="N65">
        <v>1013</v>
      </c>
      <c r="O65" t="s">
        <v>263</v>
      </c>
      <c r="P65" t="s">
        <v>264</v>
      </c>
      <c r="Q65">
        <v>1</v>
      </c>
      <c r="X65">
        <v>76.08</v>
      </c>
      <c r="Y65">
        <v>0</v>
      </c>
      <c r="Z65">
        <v>0</v>
      </c>
      <c r="AA65">
        <v>0</v>
      </c>
      <c r="AB65">
        <v>6.88</v>
      </c>
      <c r="AC65">
        <v>0</v>
      </c>
      <c r="AD65">
        <v>1</v>
      </c>
      <c r="AE65">
        <v>1</v>
      </c>
      <c r="AF65" t="s">
        <v>63</v>
      </c>
      <c r="AG65">
        <v>87.49199999999999</v>
      </c>
      <c r="AH65">
        <v>2</v>
      </c>
      <c r="AI65">
        <v>34849774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ROW(Source!A44)</f>
        <v>44</v>
      </c>
      <c r="B66">
        <v>34849775</v>
      </c>
      <c r="C66">
        <v>34849773</v>
      </c>
      <c r="D66">
        <v>121548</v>
      </c>
      <c r="E66">
        <v>1</v>
      </c>
      <c r="F66">
        <v>1</v>
      </c>
      <c r="G66">
        <v>1</v>
      </c>
      <c r="H66">
        <v>1</v>
      </c>
      <c r="I66" t="s">
        <v>23</v>
      </c>
      <c r="J66" t="s">
        <v>3</v>
      </c>
      <c r="K66" t="s">
        <v>265</v>
      </c>
      <c r="L66">
        <v>608254</v>
      </c>
      <c r="N66">
        <v>1013</v>
      </c>
      <c r="O66" t="s">
        <v>266</v>
      </c>
      <c r="P66" t="s">
        <v>266</v>
      </c>
      <c r="Q66">
        <v>1</v>
      </c>
      <c r="X66">
        <v>0.68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2</v>
      </c>
      <c r="AF66" t="s">
        <v>62</v>
      </c>
      <c r="AG66">
        <v>0.85000000000000009</v>
      </c>
      <c r="AH66">
        <v>2</v>
      </c>
      <c r="AI66">
        <v>34849775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ROW(Source!A44)</f>
        <v>44</v>
      </c>
      <c r="B67">
        <v>34849776</v>
      </c>
      <c r="C67">
        <v>34849773</v>
      </c>
      <c r="D67">
        <v>26553813</v>
      </c>
      <c r="E67">
        <v>1</v>
      </c>
      <c r="F67">
        <v>1</v>
      </c>
      <c r="G67">
        <v>1</v>
      </c>
      <c r="H67">
        <v>2</v>
      </c>
      <c r="I67" t="s">
        <v>313</v>
      </c>
      <c r="J67" t="s">
        <v>314</v>
      </c>
      <c r="K67" t="s">
        <v>315</v>
      </c>
      <c r="L67">
        <v>26553684</v>
      </c>
      <c r="N67">
        <v>1013</v>
      </c>
      <c r="O67" t="s">
        <v>270</v>
      </c>
      <c r="P67" t="s">
        <v>270</v>
      </c>
      <c r="Q67">
        <v>1</v>
      </c>
      <c r="X67">
        <v>0.68</v>
      </c>
      <c r="Y67">
        <v>0</v>
      </c>
      <c r="Z67">
        <v>111.75</v>
      </c>
      <c r="AA67">
        <v>13.26</v>
      </c>
      <c r="AB67">
        <v>0</v>
      </c>
      <c r="AC67">
        <v>0</v>
      </c>
      <c r="AD67">
        <v>1</v>
      </c>
      <c r="AE67">
        <v>0</v>
      </c>
      <c r="AF67" t="s">
        <v>62</v>
      </c>
      <c r="AG67">
        <v>0.85000000000000009</v>
      </c>
      <c r="AH67">
        <v>2</v>
      </c>
      <c r="AI67">
        <v>34849776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ROW(Source!A44)</f>
        <v>44</v>
      </c>
      <c r="B68">
        <v>34849777</v>
      </c>
      <c r="C68">
        <v>34849773</v>
      </c>
      <c r="D68">
        <v>26555822</v>
      </c>
      <c r="E68">
        <v>1</v>
      </c>
      <c r="F68">
        <v>1</v>
      </c>
      <c r="G68">
        <v>1</v>
      </c>
      <c r="H68">
        <v>2</v>
      </c>
      <c r="I68" t="s">
        <v>316</v>
      </c>
      <c r="J68" t="s">
        <v>317</v>
      </c>
      <c r="K68" t="s">
        <v>318</v>
      </c>
      <c r="L68">
        <v>26553684</v>
      </c>
      <c r="N68">
        <v>1013</v>
      </c>
      <c r="O68" t="s">
        <v>270</v>
      </c>
      <c r="P68" t="s">
        <v>270</v>
      </c>
      <c r="Q68">
        <v>1</v>
      </c>
      <c r="X68">
        <v>0.04</v>
      </c>
      <c r="Y68">
        <v>0</v>
      </c>
      <c r="Z68">
        <v>86.55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62</v>
      </c>
      <c r="AG68">
        <v>0.05</v>
      </c>
      <c r="AH68">
        <v>2</v>
      </c>
      <c r="AI68">
        <v>34849777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ROW(Source!A44)</f>
        <v>44</v>
      </c>
      <c r="B69">
        <v>34849778</v>
      </c>
      <c r="C69">
        <v>34849773</v>
      </c>
      <c r="D69">
        <v>26558869</v>
      </c>
      <c r="E69">
        <v>1</v>
      </c>
      <c r="F69">
        <v>1</v>
      </c>
      <c r="G69">
        <v>1</v>
      </c>
      <c r="H69">
        <v>3</v>
      </c>
      <c r="I69" t="s">
        <v>319</v>
      </c>
      <c r="J69" t="s">
        <v>320</v>
      </c>
      <c r="K69" t="s">
        <v>321</v>
      </c>
      <c r="L69">
        <v>1348</v>
      </c>
      <c r="N69">
        <v>1009</v>
      </c>
      <c r="O69" t="s">
        <v>322</v>
      </c>
      <c r="P69" t="s">
        <v>322</v>
      </c>
      <c r="Q69">
        <v>1000</v>
      </c>
      <c r="X69">
        <v>1E-3</v>
      </c>
      <c r="Y69">
        <v>10992.4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1E-3</v>
      </c>
      <c r="AH69">
        <v>2</v>
      </c>
      <c r="AI69">
        <v>34849778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ROW(Source!A44)</f>
        <v>44</v>
      </c>
      <c r="B70">
        <v>34849779</v>
      </c>
      <c r="C70">
        <v>34849773</v>
      </c>
      <c r="D70">
        <v>26565923</v>
      </c>
      <c r="E70">
        <v>1</v>
      </c>
      <c r="F70">
        <v>1</v>
      </c>
      <c r="G70">
        <v>1</v>
      </c>
      <c r="H70">
        <v>3</v>
      </c>
      <c r="I70" t="s">
        <v>323</v>
      </c>
      <c r="J70" t="s">
        <v>324</v>
      </c>
      <c r="K70" t="s">
        <v>325</v>
      </c>
      <c r="L70">
        <v>1339</v>
      </c>
      <c r="N70">
        <v>1007</v>
      </c>
      <c r="O70" t="s">
        <v>69</v>
      </c>
      <c r="P70" t="s">
        <v>69</v>
      </c>
      <c r="Q70">
        <v>1</v>
      </c>
      <c r="X70">
        <v>0.17</v>
      </c>
      <c r="Y70">
        <v>813.06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3</v>
      </c>
      <c r="AG70">
        <v>0.17</v>
      </c>
      <c r="AH70">
        <v>2</v>
      </c>
      <c r="AI70">
        <v>34849779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ROW(Source!A44)</f>
        <v>44</v>
      </c>
      <c r="B71">
        <v>34849780</v>
      </c>
      <c r="C71">
        <v>34849773</v>
      </c>
      <c r="D71">
        <v>26597173</v>
      </c>
      <c r="E71">
        <v>1</v>
      </c>
      <c r="F71">
        <v>1</v>
      </c>
      <c r="G71">
        <v>1</v>
      </c>
      <c r="H71">
        <v>3</v>
      </c>
      <c r="I71" t="s">
        <v>326</v>
      </c>
      <c r="J71" t="s">
        <v>327</v>
      </c>
      <c r="K71" t="s">
        <v>328</v>
      </c>
      <c r="L71">
        <v>1339</v>
      </c>
      <c r="N71">
        <v>1007</v>
      </c>
      <c r="O71" t="s">
        <v>69</v>
      </c>
      <c r="P71" t="s">
        <v>69</v>
      </c>
      <c r="Q71">
        <v>1</v>
      </c>
      <c r="X71">
        <v>5.9</v>
      </c>
      <c r="Y71">
        <v>550.19000000000005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5.9</v>
      </c>
      <c r="AH71">
        <v>2</v>
      </c>
      <c r="AI71">
        <v>34849780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ROW(Source!A44)</f>
        <v>44</v>
      </c>
      <c r="B72">
        <v>34849781</v>
      </c>
      <c r="C72">
        <v>34849773</v>
      </c>
      <c r="D72">
        <v>26597747</v>
      </c>
      <c r="E72">
        <v>1</v>
      </c>
      <c r="F72">
        <v>1</v>
      </c>
      <c r="G72">
        <v>1</v>
      </c>
      <c r="H72">
        <v>3</v>
      </c>
      <c r="I72" t="s">
        <v>329</v>
      </c>
      <c r="J72" t="s">
        <v>330</v>
      </c>
      <c r="K72" t="s">
        <v>331</v>
      </c>
      <c r="L72">
        <v>1339</v>
      </c>
      <c r="N72">
        <v>1007</v>
      </c>
      <c r="O72" t="s">
        <v>69</v>
      </c>
      <c r="P72" t="s">
        <v>69</v>
      </c>
      <c r="Q72">
        <v>1</v>
      </c>
      <c r="X72">
        <v>0.06</v>
      </c>
      <c r="Y72">
        <v>484.14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0.06</v>
      </c>
      <c r="AH72">
        <v>2</v>
      </c>
      <c r="AI72">
        <v>34849781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ROW(Source!A44)</f>
        <v>44</v>
      </c>
      <c r="B73">
        <v>34849782</v>
      </c>
      <c r="C73">
        <v>34849773</v>
      </c>
      <c r="D73">
        <v>26609268</v>
      </c>
      <c r="E73">
        <v>1</v>
      </c>
      <c r="F73">
        <v>1</v>
      </c>
      <c r="G73">
        <v>1</v>
      </c>
      <c r="H73">
        <v>3</v>
      </c>
      <c r="I73" t="s">
        <v>363</v>
      </c>
      <c r="J73" t="s">
        <v>364</v>
      </c>
      <c r="K73" t="s">
        <v>365</v>
      </c>
      <c r="L73">
        <v>1301</v>
      </c>
      <c r="N73">
        <v>1003</v>
      </c>
      <c r="O73" t="s">
        <v>366</v>
      </c>
      <c r="P73" t="s">
        <v>366</v>
      </c>
      <c r="Q73">
        <v>1</v>
      </c>
      <c r="X73">
        <v>100</v>
      </c>
      <c r="Y73">
        <v>0</v>
      </c>
      <c r="Z73">
        <v>0</v>
      </c>
      <c r="AA73">
        <v>0</v>
      </c>
      <c r="AB73">
        <v>0</v>
      </c>
      <c r="AC73">
        <v>1</v>
      </c>
      <c r="AD73">
        <v>0</v>
      </c>
      <c r="AE73">
        <v>0</v>
      </c>
      <c r="AF73" t="s">
        <v>3</v>
      </c>
      <c r="AG73">
        <v>100</v>
      </c>
      <c r="AH73">
        <v>3</v>
      </c>
      <c r="AI73">
        <v>-1</v>
      </c>
      <c r="AJ73" t="s">
        <v>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ROW(Source!A45)</f>
        <v>45</v>
      </c>
      <c r="B74">
        <v>34849774</v>
      </c>
      <c r="C74">
        <v>34849773</v>
      </c>
      <c r="D74">
        <v>24225432</v>
      </c>
      <c r="E74">
        <v>1</v>
      </c>
      <c r="F74">
        <v>1</v>
      </c>
      <c r="G74">
        <v>1</v>
      </c>
      <c r="H74">
        <v>1</v>
      </c>
      <c r="I74" t="s">
        <v>311</v>
      </c>
      <c r="J74" t="s">
        <v>3</v>
      </c>
      <c r="K74" t="s">
        <v>312</v>
      </c>
      <c r="L74">
        <v>1476</v>
      </c>
      <c r="N74">
        <v>1013</v>
      </c>
      <c r="O74" t="s">
        <v>263</v>
      </c>
      <c r="P74" t="s">
        <v>264</v>
      </c>
      <c r="Q74">
        <v>1</v>
      </c>
      <c r="X74">
        <v>76.08</v>
      </c>
      <c r="Y74">
        <v>0</v>
      </c>
      <c r="Z74">
        <v>0</v>
      </c>
      <c r="AA74">
        <v>0</v>
      </c>
      <c r="AB74">
        <v>6.88</v>
      </c>
      <c r="AC74">
        <v>0</v>
      </c>
      <c r="AD74">
        <v>1</v>
      </c>
      <c r="AE74">
        <v>1</v>
      </c>
      <c r="AF74" t="s">
        <v>63</v>
      </c>
      <c r="AG74">
        <v>87.49199999999999</v>
      </c>
      <c r="AH74">
        <v>2</v>
      </c>
      <c r="AI74">
        <v>34849774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ROW(Source!A45)</f>
        <v>45</v>
      </c>
      <c r="B75">
        <v>34849775</v>
      </c>
      <c r="C75">
        <v>34849773</v>
      </c>
      <c r="D75">
        <v>121548</v>
      </c>
      <c r="E75">
        <v>1</v>
      </c>
      <c r="F75">
        <v>1</v>
      </c>
      <c r="G75">
        <v>1</v>
      </c>
      <c r="H75">
        <v>1</v>
      </c>
      <c r="I75" t="s">
        <v>23</v>
      </c>
      <c r="J75" t="s">
        <v>3</v>
      </c>
      <c r="K75" t="s">
        <v>265</v>
      </c>
      <c r="L75">
        <v>608254</v>
      </c>
      <c r="N75">
        <v>1013</v>
      </c>
      <c r="O75" t="s">
        <v>266</v>
      </c>
      <c r="P75" t="s">
        <v>266</v>
      </c>
      <c r="Q75">
        <v>1</v>
      </c>
      <c r="X75">
        <v>0.68</v>
      </c>
      <c r="Y75">
        <v>0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2</v>
      </c>
      <c r="AF75" t="s">
        <v>62</v>
      </c>
      <c r="AG75">
        <v>0.85000000000000009</v>
      </c>
      <c r="AH75">
        <v>2</v>
      </c>
      <c r="AI75">
        <v>34849775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ROW(Source!A45)</f>
        <v>45</v>
      </c>
      <c r="B76">
        <v>34849776</v>
      </c>
      <c r="C76">
        <v>34849773</v>
      </c>
      <c r="D76">
        <v>26553813</v>
      </c>
      <c r="E76">
        <v>1</v>
      </c>
      <c r="F76">
        <v>1</v>
      </c>
      <c r="G76">
        <v>1</v>
      </c>
      <c r="H76">
        <v>2</v>
      </c>
      <c r="I76" t="s">
        <v>313</v>
      </c>
      <c r="J76" t="s">
        <v>314</v>
      </c>
      <c r="K76" t="s">
        <v>315</v>
      </c>
      <c r="L76">
        <v>26553684</v>
      </c>
      <c r="N76">
        <v>1013</v>
      </c>
      <c r="O76" t="s">
        <v>270</v>
      </c>
      <c r="P76" t="s">
        <v>270</v>
      </c>
      <c r="Q76">
        <v>1</v>
      </c>
      <c r="X76">
        <v>0.68</v>
      </c>
      <c r="Y76">
        <v>0</v>
      </c>
      <c r="Z76">
        <v>111.75</v>
      </c>
      <c r="AA76">
        <v>13.26</v>
      </c>
      <c r="AB76">
        <v>0</v>
      </c>
      <c r="AC76">
        <v>0</v>
      </c>
      <c r="AD76">
        <v>1</v>
      </c>
      <c r="AE76">
        <v>0</v>
      </c>
      <c r="AF76" t="s">
        <v>62</v>
      </c>
      <c r="AG76">
        <v>0.85000000000000009</v>
      </c>
      <c r="AH76">
        <v>2</v>
      </c>
      <c r="AI76">
        <v>34849776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ROW(Source!A45)</f>
        <v>45</v>
      </c>
      <c r="B77">
        <v>34849777</v>
      </c>
      <c r="C77">
        <v>34849773</v>
      </c>
      <c r="D77">
        <v>26555822</v>
      </c>
      <c r="E77">
        <v>1</v>
      </c>
      <c r="F77">
        <v>1</v>
      </c>
      <c r="G77">
        <v>1</v>
      </c>
      <c r="H77">
        <v>2</v>
      </c>
      <c r="I77" t="s">
        <v>316</v>
      </c>
      <c r="J77" t="s">
        <v>317</v>
      </c>
      <c r="K77" t="s">
        <v>318</v>
      </c>
      <c r="L77">
        <v>26553684</v>
      </c>
      <c r="N77">
        <v>1013</v>
      </c>
      <c r="O77" t="s">
        <v>270</v>
      </c>
      <c r="P77" t="s">
        <v>270</v>
      </c>
      <c r="Q77">
        <v>1</v>
      </c>
      <c r="X77">
        <v>0.04</v>
      </c>
      <c r="Y77">
        <v>0</v>
      </c>
      <c r="Z77">
        <v>86.55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62</v>
      </c>
      <c r="AG77">
        <v>0.05</v>
      </c>
      <c r="AH77">
        <v>2</v>
      </c>
      <c r="AI77">
        <v>34849777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ROW(Source!A45)</f>
        <v>45</v>
      </c>
      <c r="B78">
        <v>34849778</v>
      </c>
      <c r="C78">
        <v>34849773</v>
      </c>
      <c r="D78">
        <v>26558869</v>
      </c>
      <c r="E78">
        <v>1</v>
      </c>
      <c r="F78">
        <v>1</v>
      </c>
      <c r="G78">
        <v>1</v>
      </c>
      <c r="H78">
        <v>3</v>
      </c>
      <c r="I78" t="s">
        <v>319</v>
      </c>
      <c r="J78" t="s">
        <v>320</v>
      </c>
      <c r="K78" t="s">
        <v>321</v>
      </c>
      <c r="L78">
        <v>1348</v>
      </c>
      <c r="N78">
        <v>1009</v>
      </c>
      <c r="O78" t="s">
        <v>322</v>
      </c>
      <c r="P78" t="s">
        <v>322</v>
      </c>
      <c r="Q78">
        <v>1000</v>
      </c>
      <c r="X78">
        <v>1E-3</v>
      </c>
      <c r="Y78">
        <v>10992.4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1E-3</v>
      </c>
      <c r="AH78">
        <v>2</v>
      </c>
      <c r="AI78">
        <v>34849778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ROW(Source!A45)</f>
        <v>45</v>
      </c>
      <c r="B79">
        <v>34849779</v>
      </c>
      <c r="C79">
        <v>34849773</v>
      </c>
      <c r="D79">
        <v>26565923</v>
      </c>
      <c r="E79">
        <v>1</v>
      </c>
      <c r="F79">
        <v>1</v>
      </c>
      <c r="G79">
        <v>1</v>
      </c>
      <c r="H79">
        <v>3</v>
      </c>
      <c r="I79" t="s">
        <v>323</v>
      </c>
      <c r="J79" t="s">
        <v>324</v>
      </c>
      <c r="K79" t="s">
        <v>325</v>
      </c>
      <c r="L79">
        <v>1339</v>
      </c>
      <c r="N79">
        <v>1007</v>
      </c>
      <c r="O79" t="s">
        <v>69</v>
      </c>
      <c r="P79" t="s">
        <v>69</v>
      </c>
      <c r="Q79">
        <v>1</v>
      </c>
      <c r="X79">
        <v>0.17</v>
      </c>
      <c r="Y79">
        <v>813.06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0.17</v>
      </c>
      <c r="AH79">
        <v>2</v>
      </c>
      <c r="AI79">
        <v>34849779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ROW(Source!A45)</f>
        <v>45</v>
      </c>
      <c r="B80">
        <v>34849780</v>
      </c>
      <c r="C80">
        <v>34849773</v>
      </c>
      <c r="D80">
        <v>26597173</v>
      </c>
      <c r="E80">
        <v>1</v>
      </c>
      <c r="F80">
        <v>1</v>
      </c>
      <c r="G80">
        <v>1</v>
      </c>
      <c r="H80">
        <v>3</v>
      </c>
      <c r="I80" t="s">
        <v>326</v>
      </c>
      <c r="J80" t="s">
        <v>327</v>
      </c>
      <c r="K80" t="s">
        <v>328</v>
      </c>
      <c r="L80">
        <v>1339</v>
      </c>
      <c r="N80">
        <v>1007</v>
      </c>
      <c r="O80" t="s">
        <v>69</v>
      </c>
      <c r="P80" t="s">
        <v>69</v>
      </c>
      <c r="Q80">
        <v>1</v>
      </c>
      <c r="X80">
        <v>5.9</v>
      </c>
      <c r="Y80">
        <v>550.19000000000005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5.9</v>
      </c>
      <c r="AH80">
        <v>2</v>
      </c>
      <c r="AI80">
        <v>34849780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ROW(Source!A45)</f>
        <v>45</v>
      </c>
      <c r="B81">
        <v>34849781</v>
      </c>
      <c r="C81">
        <v>34849773</v>
      </c>
      <c r="D81">
        <v>26597747</v>
      </c>
      <c r="E81">
        <v>1</v>
      </c>
      <c r="F81">
        <v>1</v>
      </c>
      <c r="G81">
        <v>1</v>
      </c>
      <c r="H81">
        <v>3</v>
      </c>
      <c r="I81" t="s">
        <v>329</v>
      </c>
      <c r="J81" t="s">
        <v>330</v>
      </c>
      <c r="K81" t="s">
        <v>331</v>
      </c>
      <c r="L81">
        <v>1339</v>
      </c>
      <c r="N81">
        <v>1007</v>
      </c>
      <c r="O81" t="s">
        <v>69</v>
      </c>
      <c r="P81" t="s">
        <v>69</v>
      </c>
      <c r="Q81">
        <v>1</v>
      </c>
      <c r="X81">
        <v>0.06</v>
      </c>
      <c r="Y81">
        <v>484.14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0.06</v>
      </c>
      <c r="AH81">
        <v>2</v>
      </c>
      <c r="AI81">
        <v>34849781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ROW(Source!A45)</f>
        <v>45</v>
      </c>
      <c r="B82">
        <v>34849782</v>
      </c>
      <c r="C82">
        <v>34849773</v>
      </c>
      <c r="D82">
        <v>26609268</v>
      </c>
      <c r="E82">
        <v>1</v>
      </c>
      <c r="F82">
        <v>1</v>
      </c>
      <c r="G82">
        <v>1</v>
      </c>
      <c r="H82">
        <v>3</v>
      </c>
      <c r="I82" t="s">
        <v>363</v>
      </c>
      <c r="J82" t="s">
        <v>364</v>
      </c>
      <c r="K82" t="s">
        <v>365</v>
      </c>
      <c r="L82">
        <v>1301</v>
      </c>
      <c r="N82">
        <v>1003</v>
      </c>
      <c r="O82" t="s">
        <v>366</v>
      </c>
      <c r="P82" t="s">
        <v>366</v>
      </c>
      <c r="Q82">
        <v>1</v>
      </c>
      <c r="X82">
        <v>100</v>
      </c>
      <c r="Y82">
        <v>0</v>
      </c>
      <c r="Z82">
        <v>0</v>
      </c>
      <c r="AA82">
        <v>0</v>
      </c>
      <c r="AB82">
        <v>0</v>
      </c>
      <c r="AC82">
        <v>1</v>
      </c>
      <c r="AD82">
        <v>0</v>
      </c>
      <c r="AE82">
        <v>0</v>
      </c>
      <c r="AF82" t="s">
        <v>3</v>
      </c>
      <c r="AG82">
        <v>100</v>
      </c>
      <c r="AH82">
        <v>3</v>
      </c>
      <c r="AI82">
        <v>-1</v>
      </c>
      <c r="AJ82" t="s">
        <v>3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ROW(Source!A48)</f>
        <v>48</v>
      </c>
      <c r="B83">
        <v>34849789</v>
      </c>
      <c r="C83">
        <v>34849788</v>
      </c>
      <c r="D83">
        <v>24288154</v>
      </c>
      <c r="E83">
        <v>1</v>
      </c>
      <c r="F83">
        <v>1</v>
      </c>
      <c r="G83">
        <v>1</v>
      </c>
      <c r="H83">
        <v>1</v>
      </c>
      <c r="I83" t="s">
        <v>332</v>
      </c>
      <c r="J83" t="s">
        <v>3</v>
      </c>
      <c r="K83" t="s">
        <v>333</v>
      </c>
      <c r="L83">
        <v>1476</v>
      </c>
      <c r="N83">
        <v>1013</v>
      </c>
      <c r="O83" t="s">
        <v>263</v>
      </c>
      <c r="P83" t="s">
        <v>264</v>
      </c>
      <c r="Q83">
        <v>1</v>
      </c>
      <c r="X83">
        <v>97.2</v>
      </c>
      <c r="Y83">
        <v>0</v>
      </c>
      <c r="Z83">
        <v>0</v>
      </c>
      <c r="AA83">
        <v>0</v>
      </c>
      <c r="AB83">
        <v>6.1</v>
      </c>
      <c r="AC83">
        <v>0</v>
      </c>
      <c r="AD83">
        <v>1</v>
      </c>
      <c r="AE83">
        <v>1</v>
      </c>
      <c r="AF83" t="s">
        <v>63</v>
      </c>
      <c r="AG83">
        <v>111.78</v>
      </c>
      <c r="AH83">
        <v>2</v>
      </c>
      <c r="AI83">
        <v>34849789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ROW(Source!A49)</f>
        <v>49</v>
      </c>
      <c r="B84">
        <v>34849789</v>
      </c>
      <c r="C84">
        <v>34849788</v>
      </c>
      <c r="D84">
        <v>24288154</v>
      </c>
      <c r="E84">
        <v>1</v>
      </c>
      <c r="F84">
        <v>1</v>
      </c>
      <c r="G84">
        <v>1</v>
      </c>
      <c r="H84">
        <v>1</v>
      </c>
      <c r="I84" t="s">
        <v>332</v>
      </c>
      <c r="J84" t="s">
        <v>3</v>
      </c>
      <c r="K84" t="s">
        <v>333</v>
      </c>
      <c r="L84">
        <v>1476</v>
      </c>
      <c r="N84">
        <v>1013</v>
      </c>
      <c r="O84" t="s">
        <v>263</v>
      </c>
      <c r="P84" t="s">
        <v>264</v>
      </c>
      <c r="Q84">
        <v>1</v>
      </c>
      <c r="X84">
        <v>97.2</v>
      </c>
      <c r="Y84">
        <v>0</v>
      </c>
      <c r="Z84">
        <v>0</v>
      </c>
      <c r="AA84">
        <v>0</v>
      </c>
      <c r="AB84">
        <v>6.1</v>
      </c>
      <c r="AC84">
        <v>0</v>
      </c>
      <c r="AD84">
        <v>1</v>
      </c>
      <c r="AE84">
        <v>1</v>
      </c>
      <c r="AF84" t="s">
        <v>63</v>
      </c>
      <c r="AG84">
        <v>111.78</v>
      </c>
      <c r="AH84">
        <v>2</v>
      </c>
      <c r="AI84">
        <v>34849789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ROW(Source!A50)</f>
        <v>50</v>
      </c>
      <c r="B85">
        <v>34850460</v>
      </c>
      <c r="C85">
        <v>34850459</v>
      </c>
      <c r="D85">
        <v>24225706</v>
      </c>
      <c r="E85">
        <v>1</v>
      </c>
      <c r="F85">
        <v>1</v>
      </c>
      <c r="G85">
        <v>1</v>
      </c>
      <c r="H85">
        <v>1</v>
      </c>
      <c r="I85" t="s">
        <v>334</v>
      </c>
      <c r="J85" t="s">
        <v>3</v>
      </c>
      <c r="K85" t="s">
        <v>335</v>
      </c>
      <c r="L85">
        <v>1476</v>
      </c>
      <c r="N85">
        <v>1013</v>
      </c>
      <c r="O85" t="s">
        <v>263</v>
      </c>
      <c r="P85" t="s">
        <v>264</v>
      </c>
      <c r="Q85">
        <v>1</v>
      </c>
      <c r="X85">
        <v>42.4</v>
      </c>
      <c r="Y85">
        <v>0</v>
      </c>
      <c r="Z85">
        <v>0</v>
      </c>
      <c r="AA85">
        <v>0</v>
      </c>
      <c r="AB85">
        <v>6.65</v>
      </c>
      <c r="AC85">
        <v>0</v>
      </c>
      <c r="AD85">
        <v>1</v>
      </c>
      <c r="AE85">
        <v>1</v>
      </c>
      <c r="AF85" t="s">
        <v>63</v>
      </c>
      <c r="AG85">
        <v>48.76</v>
      </c>
      <c r="AH85">
        <v>2</v>
      </c>
      <c r="AI85">
        <v>34850460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ROW(Source!A50)</f>
        <v>50</v>
      </c>
      <c r="B86">
        <v>34850461</v>
      </c>
      <c r="C86">
        <v>34850459</v>
      </c>
      <c r="D86">
        <v>121548</v>
      </c>
      <c r="E86">
        <v>1</v>
      </c>
      <c r="F86">
        <v>1</v>
      </c>
      <c r="G86">
        <v>1</v>
      </c>
      <c r="H86">
        <v>1</v>
      </c>
      <c r="I86" t="s">
        <v>23</v>
      </c>
      <c r="J86" t="s">
        <v>3</v>
      </c>
      <c r="K86" t="s">
        <v>265</v>
      </c>
      <c r="L86">
        <v>608254</v>
      </c>
      <c r="N86">
        <v>1013</v>
      </c>
      <c r="O86" t="s">
        <v>266</v>
      </c>
      <c r="P86" t="s">
        <v>266</v>
      </c>
      <c r="Q86">
        <v>1</v>
      </c>
      <c r="X86">
        <v>0.42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2</v>
      </c>
      <c r="AF86" t="s">
        <v>62</v>
      </c>
      <c r="AG86">
        <v>0.52500000000000002</v>
      </c>
      <c r="AH86">
        <v>2</v>
      </c>
      <c r="AI86">
        <v>34850461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ROW(Source!A50)</f>
        <v>50</v>
      </c>
      <c r="B87">
        <v>34850462</v>
      </c>
      <c r="C87">
        <v>34850459</v>
      </c>
      <c r="D87">
        <v>26553813</v>
      </c>
      <c r="E87">
        <v>1</v>
      </c>
      <c r="F87">
        <v>1</v>
      </c>
      <c r="G87">
        <v>1</v>
      </c>
      <c r="H87">
        <v>2</v>
      </c>
      <c r="I87" t="s">
        <v>313</v>
      </c>
      <c r="J87" t="s">
        <v>314</v>
      </c>
      <c r="K87" t="s">
        <v>315</v>
      </c>
      <c r="L87">
        <v>26553684</v>
      </c>
      <c r="N87">
        <v>1013</v>
      </c>
      <c r="O87" t="s">
        <v>270</v>
      </c>
      <c r="P87" t="s">
        <v>270</v>
      </c>
      <c r="Q87">
        <v>1</v>
      </c>
      <c r="X87">
        <v>0.41</v>
      </c>
      <c r="Y87">
        <v>0</v>
      </c>
      <c r="Z87">
        <v>111.75</v>
      </c>
      <c r="AA87">
        <v>13.26</v>
      </c>
      <c r="AB87">
        <v>0</v>
      </c>
      <c r="AC87">
        <v>0</v>
      </c>
      <c r="AD87">
        <v>1</v>
      </c>
      <c r="AE87">
        <v>0</v>
      </c>
      <c r="AF87" t="s">
        <v>62</v>
      </c>
      <c r="AG87">
        <v>0.51249999999999996</v>
      </c>
      <c r="AH87">
        <v>2</v>
      </c>
      <c r="AI87">
        <v>34850462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ROW(Source!A50)</f>
        <v>50</v>
      </c>
      <c r="B88">
        <v>34850463</v>
      </c>
      <c r="C88">
        <v>34850459</v>
      </c>
      <c r="D88">
        <v>26553886</v>
      </c>
      <c r="E88">
        <v>1</v>
      </c>
      <c r="F88">
        <v>1</v>
      </c>
      <c r="G88">
        <v>1</v>
      </c>
      <c r="H88">
        <v>2</v>
      </c>
      <c r="I88" t="s">
        <v>297</v>
      </c>
      <c r="J88" t="s">
        <v>298</v>
      </c>
      <c r="K88" t="s">
        <v>299</v>
      </c>
      <c r="L88">
        <v>26553684</v>
      </c>
      <c r="N88">
        <v>1013</v>
      </c>
      <c r="O88" t="s">
        <v>270</v>
      </c>
      <c r="P88" t="s">
        <v>270</v>
      </c>
      <c r="Q88">
        <v>1</v>
      </c>
      <c r="X88">
        <v>0.01</v>
      </c>
      <c r="Y88">
        <v>0</v>
      </c>
      <c r="Z88">
        <v>89.81</v>
      </c>
      <c r="AA88">
        <v>9.8800000000000008</v>
      </c>
      <c r="AB88">
        <v>0</v>
      </c>
      <c r="AC88">
        <v>0</v>
      </c>
      <c r="AD88">
        <v>1</v>
      </c>
      <c r="AE88">
        <v>0</v>
      </c>
      <c r="AF88" t="s">
        <v>62</v>
      </c>
      <c r="AG88">
        <v>1.2500000000000001E-2</v>
      </c>
      <c r="AH88">
        <v>2</v>
      </c>
      <c r="AI88">
        <v>34850463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ROW(Source!A50)</f>
        <v>50</v>
      </c>
      <c r="B89">
        <v>34850464</v>
      </c>
      <c r="C89">
        <v>34850459</v>
      </c>
      <c r="D89">
        <v>26554549</v>
      </c>
      <c r="E89">
        <v>1</v>
      </c>
      <c r="F89">
        <v>1</v>
      </c>
      <c r="G89">
        <v>1</v>
      </c>
      <c r="H89">
        <v>2</v>
      </c>
      <c r="I89" t="s">
        <v>336</v>
      </c>
      <c r="J89" t="s">
        <v>337</v>
      </c>
      <c r="K89" t="s">
        <v>338</v>
      </c>
      <c r="L89">
        <v>26553684</v>
      </c>
      <c r="N89">
        <v>1013</v>
      </c>
      <c r="O89" t="s">
        <v>270</v>
      </c>
      <c r="P89" t="s">
        <v>270</v>
      </c>
      <c r="Q89">
        <v>1</v>
      </c>
      <c r="X89">
        <v>5.13</v>
      </c>
      <c r="Y89">
        <v>0</v>
      </c>
      <c r="Z89">
        <v>60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62</v>
      </c>
      <c r="AG89">
        <v>6.4124999999999996</v>
      </c>
      <c r="AH89">
        <v>2</v>
      </c>
      <c r="AI89">
        <v>34850464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ROW(Source!A50)</f>
        <v>50</v>
      </c>
      <c r="B90">
        <v>34850465</v>
      </c>
      <c r="C90">
        <v>34850459</v>
      </c>
      <c r="D90">
        <v>26555822</v>
      </c>
      <c r="E90">
        <v>1</v>
      </c>
      <c r="F90">
        <v>1</v>
      </c>
      <c r="G90">
        <v>1</v>
      </c>
      <c r="H90">
        <v>2</v>
      </c>
      <c r="I90" t="s">
        <v>316</v>
      </c>
      <c r="J90" t="s">
        <v>317</v>
      </c>
      <c r="K90" t="s">
        <v>318</v>
      </c>
      <c r="L90">
        <v>26553684</v>
      </c>
      <c r="N90">
        <v>1013</v>
      </c>
      <c r="O90" t="s">
        <v>270</v>
      </c>
      <c r="P90" t="s">
        <v>270</v>
      </c>
      <c r="Q90">
        <v>1</v>
      </c>
      <c r="X90">
        <v>0.56000000000000005</v>
      </c>
      <c r="Y90">
        <v>0</v>
      </c>
      <c r="Z90">
        <v>86.55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62</v>
      </c>
      <c r="AG90">
        <v>0.70000000000000007</v>
      </c>
      <c r="AH90">
        <v>2</v>
      </c>
      <c r="AI90">
        <v>34850465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ROW(Source!A50)</f>
        <v>50</v>
      </c>
      <c r="B91">
        <v>34850466</v>
      </c>
      <c r="C91">
        <v>34850459</v>
      </c>
      <c r="D91">
        <v>26598386</v>
      </c>
      <c r="E91">
        <v>1</v>
      </c>
      <c r="F91">
        <v>1</v>
      </c>
      <c r="G91">
        <v>1</v>
      </c>
      <c r="H91">
        <v>3</v>
      </c>
      <c r="I91" t="s">
        <v>101</v>
      </c>
      <c r="J91" t="s">
        <v>104</v>
      </c>
      <c r="K91" t="s">
        <v>102</v>
      </c>
      <c r="L91">
        <v>1327</v>
      </c>
      <c r="N91">
        <v>1005</v>
      </c>
      <c r="O91" t="s">
        <v>103</v>
      </c>
      <c r="P91" t="s">
        <v>103</v>
      </c>
      <c r="Q91">
        <v>1</v>
      </c>
      <c r="X91">
        <v>100</v>
      </c>
      <c r="Y91">
        <v>65.349999999999994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100</v>
      </c>
      <c r="AH91">
        <v>2</v>
      </c>
      <c r="AI91">
        <v>34850466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ROW(Source!A50)</f>
        <v>50</v>
      </c>
      <c r="B92">
        <v>34850467</v>
      </c>
      <c r="C92">
        <v>34850459</v>
      </c>
      <c r="D92">
        <v>26607526</v>
      </c>
      <c r="E92">
        <v>1</v>
      </c>
      <c r="F92">
        <v>1</v>
      </c>
      <c r="G92">
        <v>1</v>
      </c>
      <c r="H92">
        <v>3</v>
      </c>
      <c r="I92" t="s">
        <v>339</v>
      </c>
      <c r="J92" t="s">
        <v>340</v>
      </c>
      <c r="K92" t="s">
        <v>341</v>
      </c>
      <c r="L92">
        <v>1339</v>
      </c>
      <c r="N92">
        <v>1007</v>
      </c>
      <c r="O92" t="s">
        <v>69</v>
      </c>
      <c r="P92" t="s">
        <v>69</v>
      </c>
      <c r="Q92">
        <v>1</v>
      </c>
      <c r="X92">
        <v>5</v>
      </c>
      <c r="Y92">
        <v>259.83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5</v>
      </c>
      <c r="AH92">
        <v>2</v>
      </c>
      <c r="AI92">
        <v>34850467</v>
      </c>
      <c r="AJ92">
        <v>93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ROW(Source!A50)</f>
        <v>50</v>
      </c>
      <c r="B93">
        <v>34850468</v>
      </c>
      <c r="C93">
        <v>34850459</v>
      </c>
      <c r="D93">
        <v>26607647</v>
      </c>
      <c r="E93">
        <v>1</v>
      </c>
      <c r="F93">
        <v>1</v>
      </c>
      <c r="G93">
        <v>1</v>
      </c>
      <c r="H93">
        <v>3</v>
      </c>
      <c r="I93" t="s">
        <v>67</v>
      </c>
      <c r="J93" t="s">
        <v>70</v>
      </c>
      <c r="K93" t="s">
        <v>68</v>
      </c>
      <c r="L93">
        <v>1339</v>
      </c>
      <c r="N93">
        <v>1007</v>
      </c>
      <c r="O93" t="s">
        <v>69</v>
      </c>
      <c r="P93" t="s">
        <v>69</v>
      </c>
      <c r="Q93">
        <v>1</v>
      </c>
      <c r="X93">
        <v>0.05</v>
      </c>
      <c r="Y93">
        <v>51.17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0.05</v>
      </c>
      <c r="AH93">
        <v>2</v>
      </c>
      <c r="AI93">
        <v>34850468</v>
      </c>
      <c r="AJ93">
        <v>94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ROW(Source!A51)</f>
        <v>51</v>
      </c>
      <c r="B94">
        <v>34850460</v>
      </c>
      <c r="C94">
        <v>34850459</v>
      </c>
      <c r="D94">
        <v>24225706</v>
      </c>
      <c r="E94">
        <v>1</v>
      </c>
      <c r="F94">
        <v>1</v>
      </c>
      <c r="G94">
        <v>1</v>
      </c>
      <c r="H94">
        <v>1</v>
      </c>
      <c r="I94" t="s">
        <v>334</v>
      </c>
      <c r="J94" t="s">
        <v>3</v>
      </c>
      <c r="K94" t="s">
        <v>335</v>
      </c>
      <c r="L94">
        <v>1476</v>
      </c>
      <c r="N94">
        <v>1013</v>
      </c>
      <c r="O94" t="s">
        <v>263</v>
      </c>
      <c r="P94" t="s">
        <v>264</v>
      </c>
      <c r="Q94">
        <v>1</v>
      </c>
      <c r="X94">
        <v>42.4</v>
      </c>
      <c r="Y94">
        <v>0</v>
      </c>
      <c r="Z94">
        <v>0</v>
      </c>
      <c r="AA94">
        <v>0</v>
      </c>
      <c r="AB94">
        <v>6.65</v>
      </c>
      <c r="AC94">
        <v>0</v>
      </c>
      <c r="AD94">
        <v>1</v>
      </c>
      <c r="AE94">
        <v>1</v>
      </c>
      <c r="AF94" t="s">
        <v>63</v>
      </c>
      <c r="AG94">
        <v>48.76</v>
      </c>
      <c r="AH94">
        <v>2</v>
      </c>
      <c r="AI94">
        <v>34850460</v>
      </c>
      <c r="AJ94">
        <v>95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ROW(Source!A51)</f>
        <v>51</v>
      </c>
      <c r="B95">
        <v>34850461</v>
      </c>
      <c r="C95">
        <v>34850459</v>
      </c>
      <c r="D95">
        <v>121548</v>
      </c>
      <c r="E95">
        <v>1</v>
      </c>
      <c r="F95">
        <v>1</v>
      </c>
      <c r="G95">
        <v>1</v>
      </c>
      <c r="H95">
        <v>1</v>
      </c>
      <c r="I95" t="s">
        <v>23</v>
      </c>
      <c r="J95" t="s">
        <v>3</v>
      </c>
      <c r="K95" t="s">
        <v>265</v>
      </c>
      <c r="L95">
        <v>608254</v>
      </c>
      <c r="N95">
        <v>1013</v>
      </c>
      <c r="O95" t="s">
        <v>266</v>
      </c>
      <c r="P95" t="s">
        <v>266</v>
      </c>
      <c r="Q95">
        <v>1</v>
      </c>
      <c r="X95">
        <v>0.42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2</v>
      </c>
      <c r="AF95" t="s">
        <v>62</v>
      </c>
      <c r="AG95">
        <v>0.52500000000000002</v>
      </c>
      <c r="AH95">
        <v>2</v>
      </c>
      <c r="AI95">
        <v>34850461</v>
      </c>
      <c r="AJ95">
        <v>96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ROW(Source!A51)</f>
        <v>51</v>
      </c>
      <c r="B96">
        <v>34850462</v>
      </c>
      <c r="C96">
        <v>34850459</v>
      </c>
      <c r="D96">
        <v>26553813</v>
      </c>
      <c r="E96">
        <v>1</v>
      </c>
      <c r="F96">
        <v>1</v>
      </c>
      <c r="G96">
        <v>1</v>
      </c>
      <c r="H96">
        <v>2</v>
      </c>
      <c r="I96" t="s">
        <v>313</v>
      </c>
      <c r="J96" t="s">
        <v>314</v>
      </c>
      <c r="K96" t="s">
        <v>315</v>
      </c>
      <c r="L96">
        <v>26553684</v>
      </c>
      <c r="N96">
        <v>1013</v>
      </c>
      <c r="O96" t="s">
        <v>270</v>
      </c>
      <c r="P96" t="s">
        <v>270</v>
      </c>
      <c r="Q96">
        <v>1</v>
      </c>
      <c r="X96">
        <v>0.41</v>
      </c>
      <c r="Y96">
        <v>0</v>
      </c>
      <c r="Z96">
        <v>111.75</v>
      </c>
      <c r="AA96">
        <v>13.26</v>
      </c>
      <c r="AB96">
        <v>0</v>
      </c>
      <c r="AC96">
        <v>0</v>
      </c>
      <c r="AD96">
        <v>1</v>
      </c>
      <c r="AE96">
        <v>0</v>
      </c>
      <c r="AF96" t="s">
        <v>62</v>
      </c>
      <c r="AG96">
        <v>0.51249999999999996</v>
      </c>
      <c r="AH96">
        <v>2</v>
      </c>
      <c r="AI96">
        <v>34850462</v>
      </c>
      <c r="AJ96">
        <v>97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ROW(Source!A51)</f>
        <v>51</v>
      </c>
      <c r="B97">
        <v>34850463</v>
      </c>
      <c r="C97">
        <v>34850459</v>
      </c>
      <c r="D97">
        <v>26553886</v>
      </c>
      <c r="E97">
        <v>1</v>
      </c>
      <c r="F97">
        <v>1</v>
      </c>
      <c r="G97">
        <v>1</v>
      </c>
      <c r="H97">
        <v>2</v>
      </c>
      <c r="I97" t="s">
        <v>297</v>
      </c>
      <c r="J97" t="s">
        <v>298</v>
      </c>
      <c r="K97" t="s">
        <v>299</v>
      </c>
      <c r="L97">
        <v>26553684</v>
      </c>
      <c r="N97">
        <v>1013</v>
      </c>
      <c r="O97" t="s">
        <v>270</v>
      </c>
      <c r="P97" t="s">
        <v>270</v>
      </c>
      <c r="Q97">
        <v>1</v>
      </c>
      <c r="X97">
        <v>0.01</v>
      </c>
      <c r="Y97">
        <v>0</v>
      </c>
      <c r="Z97">
        <v>89.81</v>
      </c>
      <c r="AA97">
        <v>9.8800000000000008</v>
      </c>
      <c r="AB97">
        <v>0</v>
      </c>
      <c r="AC97">
        <v>0</v>
      </c>
      <c r="AD97">
        <v>1</v>
      </c>
      <c r="AE97">
        <v>0</v>
      </c>
      <c r="AF97" t="s">
        <v>62</v>
      </c>
      <c r="AG97">
        <v>1.2500000000000001E-2</v>
      </c>
      <c r="AH97">
        <v>2</v>
      </c>
      <c r="AI97">
        <v>34850463</v>
      </c>
      <c r="AJ97">
        <v>98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ROW(Source!A51)</f>
        <v>51</v>
      </c>
      <c r="B98">
        <v>34850464</v>
      </c>
      <c r="C98">
        <v>34850459</v>
      </c>
      <c r="D98">
        <v>26554549</v>
      </c>
      <c r="E98">
        <v>1</v>
      </c>
      <c r="F98">
        <v>1</v>
      </c>
      <c r="G98">
        <v>1</v>
      </c>
      <c r="H98">
        <v>2</v>
      </c>
      <c r="I98" t="s">
        <v>336</v>
      </c>
      <c r="J98" t="s">
        <v>337</v>
      </c>
      <c r="K98" t="s">
        <v>338</v>
      </c>
      <c r="L98">
        <v>26553684</v>
      </c>
      <c r="N98">
        <v>1013</v>
      </c>
      <c r="O98" t="s">
        <v>270</v>
      </c>
      <c r="P98" t="s">
        <v>270</v>
      </c>
      <c r="Q98">
        <v>1</v>
      </c>
      <c r="X98">
        <v>5.13</v>
      </c>
      <c r="Y98">
        <v>0</v>
      </c>
      <c r="Z98">
        <v>60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62</v>
      </c>
      <c r="AG98">
        <v>6.4124999999999996</v>
      </c>
      <c r="AH98">
        <v>2</v>
      </c>
      <c r="AI98">
        <v>34850464</v>
      </c>
      <c r="AJ98">
        <v>99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ROW(Source!A51)</f>
        <v>51</v>
      </c>
      <c r="B99">
        <v>34850465</v>
      </c>
      <c r="C99">
        <v>34850459</v>
      </c>
      <c r="D99">
        <v>26555822</v>
      </c>
      <c r="E99">
        <v>1</v>
      </c>
      <c r="F99">
        <v>1</v>
      </c>
      <c r="G99">
        <v>1</v>
      </c>
      <c r="H99">
        <v>2</v>
      </c>
      <c r="I99" t="s">
        <v>316</v>
      </c>
      <c r="J99" t="s">
        <v>317</v>
      </c>
      <c r="K99" t="s">
        <v>318</v>
      </c>
      <c r="L99">
        <v>26553684</v>
      </c>
      <c r="N99">
        <v>1013</v>
      </c>
      <c r="O99" t="s">
        <v>270</v>
      </c>
      <c r="P99" t="s">
        <v>270</v>
      </c>
      <c r="Q99">
        <v>1</v>
      </c>
      <c r="X99">
        <v>0.56000000000000005</v>
      </c>
      <c r="Y99">
        <v>0</v>
      </c>
      <c r="Z99">
        <v>86.55</v>
      </c>
      <c r="AA99">
        <v>0</v>
      </c>
      <c r="AB99">
        <v>0</v>
      </c>
      <c r="AC99">
        <v>0</v>
      </c>
      <c r="AD99">
        <v>1</v>
      </c>
      <c r="AE99">
        <v>0</v>
      </c>
      <c r="AF99" t="s">
        <v>62</v>
      </c>
      <c r="AG99">
        <v>0.70000000000000007</v>
      </c>
      <c r="AH99">
        <v>2</v>
      </c>
      <c r="AI99">
        <v>34850465</v>
      </c>
      <c r="AJ99">
        <v>100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ROW(Source!A51)</f>
        <v>51</v>
      </c>
      <c r="B100">
        <v>34850466</v>
      </c>
      <c r="C100">
        <v>34850459</v>
      </c>
      <c r="D100">
        <v>26598386</v>
      </c>
      <c r="E100">
        <v>1</v>
      </c>
      <c r="F100">
        <v>1</v>
      </c>
      <c r="G100">
        <v>1</v>
      </c>
      <c r="H100">
        <v>3</v>
      </c>
      <c r="I100" t="s">
        <v>101</v>
      </c>
      <c r="J100" t="s">
        <v>104</v>
      </c>
      <c r="K100" t="s">
        <v>102</v>
      </c>
      <c r="L100">
        <v>1327</v>
      </c>
      <c r="N100">
        <v>1005</v>
      </c>
      <c r="O100" t="s">
        <v>103</v>
      </c>
      <c r="P100" t="s">
        <v>103</v>
      </c>
      <c r="Q100">
        <v>1</v>
      </c>
      <c r="X100">
        <v>100</v>
      </c>
      <c r="Y100">
        <v>65.349999999999994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100</v>
      </c>
      <c r="AH100">
        <v>2</v>
      </c>
      <c r="AI100">
        <v>34850466</v>
      </c>
      <c r="AJ100">
        <v>101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ROW(Source!A51)</f>
        <v>51</v>
      </c>
      <c r="B101">
        <v>34850467</v>
      </c>
      <c r="C101">
        <v>34850459</v>
      </c>
      <c r="D101">
        <v>26607526</v>
      </c>
      <c r="E101">
        <v>1</v>
      </c>
      <c r="F101">
        <v>1</v>
      </c>
      <c r="G101">
        <v>1</v>
      </c>
      <c r="H101">
        <v>3</v>
      </c>
      <c r="I101" t="s">
        <v>339</v>
      </c>
      <c r="J101" t="s">
        <v>340</v>
      </c>
      <c r="K101" t="s">
        <v>341</v>
      </c>
      <c r="L101">
        <v>1339</v>
      </c>
      <c r="N101">
        <v>1007</v>
      </c>
      <c r="O101" t="s">
        <v>69</v>
      </c>
      <c r="P101" t="s">
        <v>69</v>
      </c>
      <c r="Q101">
        <v>1</v>
      </c>
      <c r="X101">
        <v>5</v>
      </c>
      <c r="Y101">
        <v>259.83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5</v>
      </c>
      <c r="AH101">
        <v>2</v>
      </c>
      <c r="AI101">
        <v>34850467</v>
      </c>
      <c r="AJ101">
        <v>103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ROW(Source!A51)</f>
        <v>51</v>
      </c>
      <c r="B102">
        <v>34850468</v>
      </c>
      <c r="C102">
        <v>34850459</v>
      </c>
      <c r="D102">
        <v>26607647</v>
      </c>
      <c r="E102">
        <v>1</v>
      </c>
      <c r="F102">
        <v>1</v>
      </c>
      <c r="G102">
        <v>1</v>
      </c>
      <c r="H102">
        <v>3</v>
      </c>
      <c r="I102" t="s">
        <v>67</v>
      </c>
      <c r="J102" t="s">
        <v>70</v>
      </c>
      <c r="K102" t="s">
        <v>68</v>
      </c>
      <c r="L102">
        <v>1339</v>
      </c>
      <c r="N102">
        <v>1007</v>
      </c>
      <c r="O102" t="s">
        <v>69</v>
      </c>
      <c r="P102" t="s">
        <v>69</v>
      </c>
      <c r="Q102">
        <v>1</v>
      </c>
      <c r="X102">
        <v>0.05</v>
      </c>
      <c r="Y102">
        <v>51.17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0.05</v>
      </c>
      <c r="AH102">
        <v>2</v>
      </c>
      <c r="AI102">
        <v>34850468</v>
      </c>
      <c r="AJ102">
        <v>104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ROW(Source!A56)</f>
        <v>56</v>
      </c>
      <c r="B103">
        <v>34850474</v>
      </c>
      <c r="C103">
        <v>34850473</v>
      </c>
      <c r="D103">
        <v>24225554</v>
      </c>
      <c r="E103">
        <v>1</v>
      </c>
      <c r="F103">
        <v>1</v>
      </c>
      <c r="G103">
        <v>1</v>
      </c>
      <c r="H103">
        <v>1</v>
      </c>
      <c r="I103" t="s">
        <v>342</v>
      </c>
      <c r="J103" t="s">
        <v>3</v>
      </c>
      <c r="K103" t="s">
        <v>343</v>
      </c>
      <c r="L103">
        <v>1476</v>
      </c>
      <c r="N103">
        <v>1013</v>
      </c>
      <c r="O103" t="s">
        <v>263</v>
      </c>
      <c r="P103" t="s">
        <v>264</v>
      </c>
      <c r="Q103">
        <v>1</v>
      </c>
      <c r="X103">
        <v>123</v>
      </c>
      <c r="Y103">
        <v>0</v>
      </c>
      <c r="Z103">
        <v>0</v>
      </c>
      <c r="AA103">
        <v>0</v>
      </c>
      <c r="AB103">
        <v>6.94</v>
      </c>
      <c r="AC103">
        <v>0</v>
      </c>
      <c r="AD103">
        <v>1</v>
      </c>
      <c r="AE103">
        <v>1</v>
      </c>
      <c r="AF103" t="s">
        <v>63</v>
      </c>
      <c r="AG103">
        <v>141.44999999999999</v>
      </c>
      <c r="AH103">
        <v>2</v>
      </c>
      <c r="AI103">
        <v>34850474</v>
      </c>
      <c r="AJ103">
        <v>105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ROW(Source!A57)</f>
        <v>57</v>
      </c>
      <c r="B104">
        <v>34850474</v>
      </c>
      <c r="C104">
        <v>34850473</v>
      </c>
      <c r="D104">
        <v>24225554</v>
      </c>
      <c r="E104">
        <v>1</v>
      </c>
      <c r="F104">
        <v>1</v>
      </c>
      <c r="G104">
        <v>1</v>
      </c>
      <c r="H104">
        <v>1</v>
      </c>
      <c r="I104" t="s">
        <v>342</v>
      </c>
      <c r="J104" t="s">
        <v>3</v>
      </c>
      <c r="K104" t="s">
        <v>343</v>
      </c>
      <c r="L104">
        <v>1476</v>
      </c>
      <c r="N104">
        <v>1013</v>
      </c>
      <c r="O104" t="s">
        <v>263</v>
      </c>
      <c r="P104" t="s">
        <v>264</v>
      </c>
      <c r="Q104">
        <v>1</v>
      </c>
      <c r="X104">
        <v>123</v>
      </c>
      <c r="Y104">
        <v>0</v>
      </c>
      <c r="Z104">
        <v>0</v>
      </c>
      <c r="AA104">
        <v>0</v>
      </c>
      <c r="AB104">
        <v>6.94</v>
      </c>
      <c r="AC104">
        <v>0</v>
      </c>
      <c r="AD104">
        <v>1</v>
      </c>
      <c r="AE104">
        <v>1</v>
      </c>
      <c r="AF104" t="s">
        <v>63</v>
      </c>
      <c r="AG104">
        <v>141.44999999999999</v>
      </c>
      <c r="AH104">
        <v>2</v>
      </c>
      <c r="AI104">
        <v>34850474</v>
      </c>
      <c r="AJ104">
        <v>106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ROW(Source!A58)</f>
        <v>58</v>
      </c>
      <c r="B105">
        <v>34850477</v>
      </c>
      <c r="C105">
        <v>34850476</v>
      </c>
      <c r="D105">
        <v>24234250</v>
      </c>
      <c r="E105">
        <v>1</v>
      </c>
      <c r="F105">
        <v>1</v>
      </c>
      <c r="G105">
        <v>1</v>
      </c>
      <c r="H105">
        <v>1</v>
      </c>
      <c r="I105" t="s">
        <v>344</v>
      </c>
      <c r="J105" t="s">
        <v>3</v>
      </c>
      <c r="K105" t="s">
        <v>345</v>
      </c>
      <c r="L105">
        <v>1476</v>
      </c>
      <c r="N105">
        <v>1013</v>
      </c>
      <c r="O105" t="s">
        <v>263</v>
      </c>
      <c r="P105" t="s">
        <v>264</v>
      </c>
      <c r="Q105">
        <v>1</v>
      </c>
      <c r="X105">
        <v>40</v>
      </c>
      <c r="Y105">
        <v>0</v>
      </c>
      <c r="Z105">
        <v>0</v>
      </c>
      <c r="AA105">
        <v>0</v>
      </c>
      <c r="AB105">
        <v>6.46</v>
      </c>
      <c r="AC105">
        <v>0</v>
      </c>
      <c r="AD105">
        <v>1</v>
      </c>
      <c r="AE105">
        <v>1</v>
      </c>
      <c r="AF105" t="s">
        <v>63</v>
      </c>
      <c r="AG105">
        <v>46</v>
      </c>
      <c r="AH105">
        <v>2</v>
      </c>
      <c r="AI105">
        <v>34850477</v>
      </c>
      <c r="AJ105">
        <v>107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ROW(Source!A58)</f>
        <v>58</v>
      </c>
      <c r="B106">
        <v>34850478</v>
      </c>
      <c r="C106">
        <v>34850476</v>
      </c>
      <c r="D106">
        <v>26607512</v>
      </c>
      <c r="E106">
        <v>1</v>
      </c>
      <c r="F106">
        <v>1</v>
      </c>
      <c r="G106">
        <v>1</v>
      </c>
      <c r="H106">
        <v>3</v>
      </c>
      <c r="I106" t="s">
        <v>346</v>
      </c>
      <c r="J106" t="s">
        <v>347</v>
      </c>
      <c r="K106" t="s">
        <v>348</v>
      </c>
      <c r="L106">
        <v>1339</v>
      </c>
      <c r="N106">
        <v>1007</v>
      </c>
      <c r="O106" t="s">
        <v>69</v>
      </c>
      <c r="P106" t="s">
        <v>69</v>
      </c>
      <c r="Q106">
        <v>1</v>
      </c>
      <c r="X106">
        <v>15</v>
      </c>
      <c r="Y106">
        <v>125.84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3</v>
      </c>
      <c r="AG106">
        <v>15</v>
      </c>
      <c r="AH106">
        <v>2</v>
      </c>
      <c r="AI106">
        <v>34850478</v>
      </c>
      <c r="AJ106">
        <v>108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ROW(Source!A59)</f>
        <v>59</v>
      </c>
      <c r="B107">
        <v>34850477</v>
      </c>
      <c r="C107">
        <v>34850476</v>
      </c>
      <c r="D107">
        <v>24234250</v>
      </c>
      <c r="E107">
        <v>1</v>
      </c>
      <c r="F107">
        <v>1</v>
      </c>
      <c r="G107">
        <v>1</v>
      </c>
      <c r="H107">
        <v>1</v>
      </c>
      <c r="I107" t="s">
        <v>344</v>
      </c>
      <c r="J107" t="s">
        <v>3</v>
      </c>
      <c r="K107" t="s">
        <v>345</v>
      </c>
      <c r="L107">
        <v>1476</v>
      </c>
      <c r="N107">
        <v>1013</v>
      </c>
      <c r="O107" t="s">
        <v>263</v>
      </c>
      <c r="P107" t="s">
        <v>264</v>
      </c>
      <c r="Q107">
        <v>1</v>
      </c>
      <c r="X107">
        <v>40</v>
      </c>
      <c r="Y107">
        <v>0</v>
      </c>
      <c r="Z107">
        <v>0</v>
      </c>
      <c r="AA107">
        <v>0</v>
      </c>
      <c r="AB107">
        <v>6.46</v>
      </c>
      <c r="AC107">
        <v>0</v>
      </c>
      <c r="AD107">
        <v>1</v>
      </c>
      <c r="AE107">
        <v>1</v>
      </c>
      <c r="AF107" t="s">
        <v>63</v>
      </c>
      <c r="AG107">
        <v>46</v>
      </c>
      <c r="AH107">
        <v>2</v>
      </c>
      <c r="AI107">
        <v>34850477</v>
      </c>
      <c r="AJ107">
        <v>109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ROW(Source!A59)</f>
        <v>59</v>
      </c>
      <c r="B108">
        <v>34850478</v>
      </c>
      <c r="C108">
        <v>34850476</v>
      </c>
      <c r="D108">
        <v>26607512</v>
      </c>
      <c r="E108">
        <v>1</v>
      </c>
      <c r="F108">
        <v>1</v>
      </c>
      <c r="G108">
        <v>1</v>
      </c>
      <c r="H108">
        <v>3</v>
      </c>
      <c r="I108" t="s">
        <v>346</v>
      </c>
      <c r="J108" t="s">
        <v>347</v>
      </c>
      <c r="K108" t="s">
        <v>348</v>
      </c>
      <c r="L108">
        <v>1339</v>
      </c>
      <c r="N108">
        <v>1007</v>
      </c>
      <c r="O108" t="s">
        <v>69</v>
      </c>
      <c r="P108" t="s">
        <v>69</v>
      </c>
      <c r="Q108">
        <v>1</v>
      </c>
      <c r="X108">
        <v>15</v>
      </c>
      <c r="Y108">
        <v>125.84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15</v>
      </c>
      <c r="AH108">
        <v>2</v>
      </c>
      <c r="AI108">
        <v>34850478</v>
      </c>
      <c r="AJ108">
        <v>110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ROW(Source!A60)</f>
        <v>60</v>
      </c>
      <c r="B109">
        <v>34850484</v>
      </c>
      <c r="C109">
        <v>34850483</v>
      </c>
      <c r="D109">
        <v>121548</v>
      </c>
      <c r="E109">
        <v>1</v>
      </c>
      <c r="F109">
        <v>1</v>
      </c>
      <c r="G109">
        <v>1</v>
      </c>
      <c r="H109">
        <v>1</v>
      </c>
      <c r="I109" t="s">
        <v>23</v>
      </c>
      <c r="J109" t="s">
        <v>3</v>
      </c>
      <c r="K109" t="s">
        <v>265</v>
      </c>
      <c r="L109">
        <v>608254</v>
      </c>
      <c r="N109">
        <v>1013</v>
      </c>
      <c r="O109" t="s">
        <v>266</v>
      </c>
      <c r="P109" t="s">
        <v>266</v>
      </c>
      <c r="Q109">
        <v>1</v>
      </c>
      <c r="X109">
        <v>0.5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2</v>
      </c>
      <c r="AF109" t="s">
        <v>62</v>
      </c>
      <c r="AG109">
        <v>0.625</v>
      </c>
      <c r="AH109">
        <v>2</v>
      </c>
      <c r="AI109">
        <v>34850484</v>
      </c>
      <c r="AJ109">
        <v>111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ROW(Source!A60)</f>
        <v>60</v>
      </c>
      <c r="B110">
        <v>34850485</v>
      </c>
      <c r="C110">
        <v>34850483</v>
      </c>
      <c r="D110">
        <v>26553715</v>
      </c>
      <c r="E110">
        <v>1</v>
      </c>
      <c r="F110">
        <v>1</v>
      </c>
      <c r="G110">
        <v>1</v>
      </c>
      <c r="H110">
        <v>2</v>
      </c>
      <c r="I110" t="s">
        <v>349</v>
      </c>
      <c r="J110" t="s">
        <v>350</v>
      </c>
      <c r="K110" t="s">
        <v>351</v>
      </c>
      <c r="L110">
        <v>26553684</v>
      </c>
      <c r="N110">
        <v>1013</v>
      </c>
      <c r="O110" t="s">
        <v>270</v>
      </c>
      <c r="P110" t="s">
        <v>270</v>
      </c>
      <c r="Q110">
        <v>1</v>
      </c>
      <c r="X110">
        <v>0.5</v>
      </c>
      <c r="Y110">
        <v>0</v>
      </c>
      <c r="Z110">
        <v>74.37</v>
      </c>
      <c r="AA110">
        <v>13.26</v>
      </c>
      <c r="AB110">
        <v>0</v>
      </c>
      <c r="AC110">
        <v>0</v>
      </c>
      <c r="AD110">
        <v>1</v>
      </c>
      <c r="AE110">
        <v>0</v>
      </c>
      <c r="AF110" t="s">
        <v>62</v>
      </c>
      <c r="AG110">
        <v>0.625</v>
      </c>
      <c r="AH110">
        <v>2</v>
      </c>
      <c r="AI110">
        <v>34850485</v>
      </c>
      <c r="AJ110">
        <v>112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ROW(Source!A60)</f>
        <v>60</v>
      </c>
      <c r="B111">
        <v>34850486</v>
      </c>
      <c r="C111">
        <v>34850483</v>
      </c>
      <c r="D111">
        <v>26554269</v>
      </c>
      <c r="E111">
        <v>1</v>
      </c>
      <c r="F111">
        <v>1</v>
      </c>
      <c r="G111">
        <v>1</v>
      </c>
      <c r="H111">
        <v>2</v>
      </c>
      <c r="I111" t="s">
        <v>352</v>
      </c>
      <c r="J111" t="s">
        <v>353</v>
      </c>
      <c r="K111" t="s">
        <v>354</v>
      </c>
      <c r="L111">
        <v>26553684</v>
      </c>
      <c r="N111">
        <v>1013</v>
      </c>
      <c r="O111" t="s">
        <v>270</v>
      </c>
      <c r="P111" t="s">
        <v>270</v>
      </c>
      <c r="Q111">
        <v>1</v>
      </c>
      <c r="X111">
        <v>0.5</v>
      </c>
      <c r="Y111">
        <v>0</v>
      </c>
      <c r="Z111">
        <v>48.2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62</v>
      </c>
      <c r="AG111">
        <v>0.625</v>
      </c>
      <c r="AH111">
        <v>2</v>
      </c>
      <c r="AI111">
        <v>34850486</v>
      </c>
      <c r="AJ111">
        <v>113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ROW(Source!A60)</f>
        <v>60</v>
      </c>
      <c r="B112">
        <v>34850487</v>
      </c>
      <c r="C112">
        <v>34850483</v>
      </c>
      <c r="D112">
        <v>26609573</v>
      </c>
      <c r="E112">
        <v>1</v>
      </c>
      <c r="F112">
        <v>1</v>
      </c>
      <c r="G112">
        <v>1</v>
      </c>
      <c r="H112">
        <v>3</v>
      </c>
      <c r="I112" t="s">
        <v>367</v>
      </c>
      <c r="J112" t="s">
        <v>368</v>
      </c>
      <c r="K112" t="s">
        <v>369</v>
      </c>
      <c r="L112">
        <v>1346</v>
      </c>
      <c r="N112">
        <v>1009</v>
      </c>
      <c r="O112" t="s">
        <v>129</v>
      </c>
      <c r="P112" t="s">
        <v>129</v>
      </c>
      <c r="Q112">
        <v>1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1</v>
      </c>
      <c r="AD112">
        <v>0</v>
      </c>
      <c r="AE112">
        <v>0</v>
      </c>
      <c r="AF112" t="s">
        <v>3</v>
      </c>
      <c r="AG112">
        <v>0</v>
      </c>
      <c r="AH112">
        <v>3</v>
      </c>
      <c r="AI112">
        <v>-1</v>
      </c>
      <c r="AJ112" t="s">
        <v>3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ROW(Source!A61)</f>
        <v>61</v>
      </c>
      <c r="B113">
        <v>34850484</v>
      </c>
      <c r="C113">
        <v>34850483</v>
      </c>
      <c r="D113">
        <v>121548</v>
      </c>
      <c r="E113">
        <v>1</v>
      </c>
      <c r="F113">
        <v>1</v>
      </c>
      <c r="G113">
        <v>1</v>
      </c>
      <c r="H113">
        <v>1</v>
      </c>
      <c r="I113" t="s">
        <v>23</v>
      </c>
      <c r="J113" t="s">
        <v>3</v>
      </c>
      <c r="K113" t="s">
        <v>265</v>
      </c>
      <c r="L113">
        <v>608254</v>
      </c>
      <c r="N113">
        <v>1013</v>
      </c>
      <c r="O113" t="s">
        <v>266</v>
      </c>
      <c r="P113" t="s">
        <v>266</v>
      </c>
      <c r="Q113">
        <v>1</v>
      </c>
      <c r="X113">
        <v>0.5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2</v>
      </c>
      <c r="AF113" t="s">
        <v>62</v>
      </c>
      <c r="AG113">
        <v>0.625</v>
      </c>
      <c r="AH113">
        <v>2</v>
      </c>
      <c r="AI113">
        <v>34850484</v>
      </c>
      <c r="AJ113">
        <v>115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ROW(Source!A61)</f>
        <v>61</v>
      </c>
      <c r="B114">
        <v>34850485</v>
      </c>
      <c r="C114">
        <v>34850483</v>
      </c>
      <c r="D114">
        <v>26553715</v>
      </c>
      <c r="E114">
        <v>1</v>
      </c>
      <c r="F114">
        <v>1</v>
      </c>
      <c r="G114">
        <v>1</v>
      </c>
      <c r="H114">
        <v>2</v>
      </c>
      <c r="I114" t="s">
        <v>349</v>
      </c>
      <c r="J114" t="s">
        <v>350</v>
      </c>
      <c r="K114" t="s">
        <v>351</v>
      </c>
      <c r="L114">
        <v>26553684</v>
      </c>
      <c r="N114">
        <v>1013</v>
      </c>
      <c r="O114" t="s">
        <v>270</v>
      </c>
      <c r="P114" t="s">
        <v>270</v>
      </c>
      <c r="Q114">
        <v>1</v>
      </c>
      <c r="X114">
        <v>0.5</v>
      </c>
      <c r="Y114">
        <v>0</v>
      </c>
      <c r="Z114">
        <v>74.37</v>
      </c>
      <c r="AA114">
        <v>13.26</v>
      </c>
      <c r="AB114">
        <v>0</v>
      </c>
      <c r="AC114">
        <v>0</v>
      </c>
      <c r="AD114">
        <v>1</v>
      </c>
      <c r="AE114">
        <v>0</v>
      </c>
      <c r="AF114" t="s">
        <v>62</v>
      </c>
      <c r="AG114">
        <v>0.625</v>
      </c>
      <c r="AH114">
        <v>2</v>
      </c>
      <c r="AI114">
        <v>34850485</v>
      </c>
      <c r="AJ114">
        <v>116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ROW(Source!A61)</f>
        <v>61</v>
      </c>
      <c r="B115">
        <v>34850486</v>
      </c>
      <c r="C115">
        <v>34850483</v>
      </c>
      <c r="D115">
        <v>26554269</v>
      </c>
      <c r="E115">
        <v>1</v>
      </c>
      <c r="F115">
        <v>1</v>
      </c>
      <c r="G115">
        <v>1</v>
      </c>
      <c r="H115">
        <v>2</v>
      </c>
      <c r="I115" t="s">
        <v>352</v>
      </c>
      <c r="J115" t="s">
        <v>353</v>
      </c>
      <c r="K115" t="s">
        <v>354</v>
      </c>
      <c r="L115">
        <v>26553684</v>
      </c>
      <c r="N115">
        <v>1013</v>
      </c>
      <c r="O115" t="s">
        <v>270</v>
      </c>
      <c r="P115" t="s">
        <v>270</v>
      </c>
      <c r="Q115">
        <v>1</v>
      </c>
      <c r="X115">
        <v>0.5</v>
      </c>
      <c r="Y115">
        <v>0</v>
      </c>
      <c r="Z115">
        <v>48.2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62</v>
      </c>
      <c r="AG115">
        <v>0.625</v>
      </c>
      <c r="AH115">
        <v>2</v>
      </c>
      <c r="AI115">
        <v>34850486</v>
      </c>
      <c r="AJ115">
        <v>117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ROW(Source!A61)</f>
        <v>61</v>
      </c>
      <c r="B116">
        <v>34850487</v>
      </c>
      <c r="C116">
        <v>34850483</v>
      </c>
      <c r="D116">
        <v>26609573</v>
      </c>
      <c r="E116">
        <v>1</v>
      </c>
      <c r="F116">
        <v>1</v>
      </c>
      <c r="G116">
        <v>1</v>
      </c>
      <c r="H116">
        <v>3</v>
      </c>
      <c r="I116" t="s">
        <v>367</v>
      </c>
      <c r="J116" t="s">
        <v>368</v>
      </c>
      <c r="K116" t="s">
        <v>369</v>
      </c>
      <c r="L116">
        <v>1346</v>
      </c>
      <c r="N116">
        <v>1009</v>
      </c>
      <c r="O116" t="s">
        <v>129</v>
      </c>
      <c r="P116" t="s">
        <v>129</v>
      </c>
      <c r="Q116">
        <v>1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1</v>
      </c>
      <c r="AD116">
        <v>0</v>
      </c>
      <c r="AE116">
        <v>0</v>
      </c>
      <c r="AF116" t="s">
        <v>3</v>
      </c>
      <c r="AG116">
        <v>0</v>
      </c>
      <c r="AH116">
        <v>3</v>
      </c>
      <c r="AI116">
        <v>-1</v>
      </c>
      <c r="AJ116" t="s">
        <v>3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по ФЕР</vt:lpstr>
      <vt:lpstr>Source</vt:lpstr>
      <vt:lpstr>SourceObSm</vt:lpstr>
      <vt:lpstr>SmtRes</vt:lpstr>
      <vt:lpstr>EtalonRes</vt:lpstr>
      <vt:lpstr>'Смета 12 гр. по ФЕР'!Заголовки_для_печати</vt:lpstr>
      <vt:lpstr>'Смета 12 гр. по ФЕР'!Область_печати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GKH</dc:creator>
  <cp:lastModifiedBy>GKH</cp:lastModifiedBy>
  <cp:lastPrinted>2018-04-20T05:50:49Z</cp:lastPrinted>
  <dcterms:created xsi:type="dcterms:W3CDTF">2018-04-19T10:39:48Z</dcterms:created>
  <dcterms:modified xsi:type="dcterms:W3CDTF">2018-04-20T06:40:18Z</dcterms:modified>
</cp:coreProperties>
</file>